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a679499666a4c9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37D03D72-CDDD-412E-AD14-98545E1477A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Comparison'!$A$1:$L$55</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18" i="33"/>
  <c r="B18" i="33"/>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G18" i="33" s="1"/>
  <c r="M18" i="33" s="1"/>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<sst xmlns="http://schemas.openxmlformats.org/spreadsheetml/2006/main" count="639" uniqueCount="328">
  <si>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</si>
  <si>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</si>
  <si>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</si>
  <si>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</si>
  <si>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</si>
  <si>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</si>
  <si>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</si>
  <si>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</si>
  <si>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</si>
  <si>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</si>
  <si>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</si>
  <si>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</si>
  <si>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</si>
  <si>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</si>
  <si>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</si>
  <si>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</si>
  <si>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</si>
  <si>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</si>
  <si>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</si>
  <si>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</si>
  <si>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</si>
  <si>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</si>
  <si>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</si>
  <si>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</si>
  <si>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</si>
  <si>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</si>
  <si>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</si>
  <si>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</si>
  <si>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</si>
  <si>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</si>
  <si>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</si>
  <si>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</si>
  <si>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</si>
  <si>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</si>
  <si>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</si>
  <si>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</si>
  <si>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</si>
  <si>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</si>
  <si>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</si>
  <si>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</si>
  <si>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</si>
  <si>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</si>
  <si>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</si>
  <si>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</si>
  <si>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</si>
  <si>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</si>
  <si>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</si>
  <si>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</si>
  <si>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</si>
  <si>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</si>
  <si>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</si>
  <si>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</si>
  <si>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</si>
  <si>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</si>
  <si>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</si>
  <si>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</si>
  <si>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</si>
  <si>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</si>
  <si>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</si>
  <si>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</si>
  <si>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</si>
  <si>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</si>
  <si>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</si>
  <si>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Further Information</t>
  </si>
  <si>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</si>
  <si>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</si>
  <si>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</si>
  <si>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</si>
  <si>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</si>
  <si>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</si>
  <si>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</si>
  <si>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</si>
  <si>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</si>
  <si>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</si>
  <si>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</si>
  <si>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</si>
  <si>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</si>
  <si>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</si>
  <si>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</si>
  <si>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</si>
  <si>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</si>
  <si>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</si>
  <si>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</si>
  <si>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</si>
  <si>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</si>
  <si>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</si>
  <si>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</si>
  <si>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</si>
  <si>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</si>
  <si>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</si>
  <si>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</si>
  <si>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</si>
  <si>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</si>
  <si>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</si>
  <si>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</si>
  <si>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r>
      <t xml:space="preserve">More information about social conditions in Victorian municipalities, may 
be found by clicking on the image on the upper right-hand of each page (and illustrated here), 
or at: </t>
    </r>
    <r>
      <rPr>
        <b/>
        <sz val="10"/>
        <color theme="5" tint="-0.499984740745262"/>
        <rFont val="Garamond"/>
        <family val="1"/>
      </rPr>
      <t>www.socialstatistics.com.au</t>
    </r>
  </si>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</sst>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5"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b/>
      <sz val="10"/>
      <color theme="5" tint="-0.499984740745262"/>
      <name val="Garamond"/>
      <family val="1"/>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4">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6"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9" fillId="0" borderId="0" xfId="0" applyFont="1" applyProtection="1">
      <protection hidden="1"/>
    </xf>
    <xf numFmtId="0" fontId="42"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3"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5"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8"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2"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left" vertical="center" wrapText="1"/>
      <protection hidden="1"/>
    </xf>
    <xf numFmtId="164" fontId="52" fillId="0" borderId="2" xfId="0" applyNumberFormat="1" applyFont="1" applyBorder="1" applyAlignment="1" applyProtection="1">
      <alignment horizontal="center" vertical="center" wrapText="1"/>
      <protection hidden="1"/>
    </xf>
    <xf numFmtId="164" fontId="52"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3"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2" fillId="0" borderId="2" xfId="0" applyNumberFormat="1" applyFont="1" applyBorder="1" applyAlignment="1" applyProtection="1">
      <alignment horizontal="center" vertical="center"/>
      <protection hidden="1"/>
    </xf>
    <xf numFmtId="164" fontId="52" fillId="5" borderId="2" xfId="0" applyNumberFormat="1" applyFont="1" applyFill="1" applyBorder="1" applyAlignment="1" applyProtection="1">
      <alignment horizontal="center" vertical="center"/>
      <protection hidden="1"/>
    </xf>
    <xf numFmtId="3" fontId="18" fillId="0" borderId="0" xfId="0" applyNumberFormat="1" applyFont="1" applyFill="1" applyAlignment="1" applyProtection="1">
      <alignment horizontal="center" vertical="center"/>
      <protection hidden="1"/>
    </xf>
    <xf numFmtId="3" fontId="19" fillId="0" borderId="0" xfId="0" applyNumberFormat="1" applyFont="1" applyFill="1" applyAlignment="1" applyProtection="1">
      <alignment horizontal="center" vertical="center"/>
      <protection hidden="1"/>
    </xf>
    <xf numFmtId="0" fontId="11" fillId="0" borderId="0" xfId="0" applyFont="1" applyFill="1" applyProtection="1">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7" fillId="0" borderId="0" xfId="0" applyFont="1" applyAlignment="1" applyProtection="1">
      <alignment horizontal="center" vertical="center" wrapText="1"/>
      <protection hidden="1"/>
    </xf>
    <xf numFmtId="0" fontId="44" fillId="0" borderId="0" xfId="0" applyFont="1" applyAlignment="1" applyProtection="1">
      <alignment horizontal="left" wrapText="1"/>
      <protection hidden="1"/>
    </xf>
    <xf numFmtId="0" fontId="49"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4" fillId="0" borderId="0" xfId="0" applyFont="1" applyFill="1" applyAlignment="1" applyProtection="1">
      <alignment horizontal="left" vertical="center" wrapText="1"/>
      <protection hidden="1"/>
    </xf>
    <xf numFmtId="3" fontId="17" fillId="0" borderId="0" xfId="0" applyNumberFormat="1" applyFont="1" applyFill="1" applyAlignment="1" applyProtection="1">
      <alignment horizontal="center" vertical="center"/>
      <protection hidden="1"/>
    </xf>
    <xf numFmtId="165" fontId="17" fillId="0" borderId="0" xfId="0" applyNumberFormat="1" applyFont="1" applyFill="1" applyAlignment="1" applyProtection="1">
      <alignment horizontal="center" vertical="center"/>
      <protection hidden="1"/>
    </xf>
    <xf numFmtId="0" fontId="38" fillId="0" borderId="0" xfId="0" applyFont="1" applyAlignment="1" applyProtection="1">
      <alignment horizontal="center" wrapText="1"/>
      <protection hidden="1"/>
    </xf>
    <xf numFmtId="0" fontId="51"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7" fillId="0" borderId="0" xfId="0" applyFont="1" applyAlignment="1" applyProtection="1">
      <alignment horizontal="center" vertical="center"/>
      <protection hidden="1"/>
    </xf>
    <xf numFmtId="0" fontId="46"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406">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fbca93339a314c7f"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752018797051567"/>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Melbourne </c:v>
                </c:pt>
                <c:pt idx="1">
                  <c:v>Boroondara </c:v>
                </c:pt>
                <c:pt idx="2">
                  <c:v>Stonnington </c:v>
                </c:pt>
                <c:pt idx="3">
                  <c:v>Yarra </c:v>
                </c:pt>
                <c:pt idx="4">
                  <c:v>Glen Eira </c:v>
                </c:pt>
                <c:pt idx="5">
                  <c:v>Monash </c:v>
                </c:pt>
                <c:pt idx="6">
                  <c:v>Whitehorse </c:v>
                </c:pt>
                <c:pt idx="7">
                  <c:v>Port Phillip </c:v>
                </c:pt>
                <c:pt idx="8">
                  <c:v>Manningham </c:v>
                </c:pt>
                <c:pt idx="9">
                  <c:v>Bayside </c:v>
                </c:pt>
                <c:pt idx="10">
                  <c:v>Moreland </c:v>
                </c:pt>
                <c:pt idx="11">
                  <c:v>Queenscliffe </c:v>
                </c:pt>
                <c:pt idx="12">
                  <c:v>Maribyrnong </c:v>
                </c:pt>
                <c:pt idx="13">
                  <c:v>Darebin </c:v>
                </c:pt>
                <c:pt idx="14">
                  <c:v>Moonee Valley </c:v>
                </c:pt>
                <c:pt idx="15">
                  <c:v>Banyule </c:v>
                </c:pt>
                <c:pt idx="16">
                  <c:v>Kingston </c:v>
                </c:pt>
                <c:pt idx="17">
                  <c:v>Wyndham </c:v>
                </c:pt>
                <c:pt idx="18">
                  <c:v>Hobsons Bay </c:v>
                </c:pt>
                <c:pt idx="19">
                  <c:v>Surf Coast </c:v>
                </c:pt>
                <c:pt idx="20">
                  <c:v>Maroondah </c:v>
                </c:pt>
                <c:pt idx="21">
                  <c:v>Nillumbik </c:v>
                </c:pt>
                <c:pt idx="22">
                  <c:v>Knox </c:v>
                </c:pt>
                <c:pt idx="23">
                  <c:v>Whittlesea </c:v>
                </c:pt>
                <c:pt idx="24">
                  <c:v>Greater Dandenong </c:v>
                </c:pt>
                <c:pt idx="25">
                  <c:v>Greater Geelong </c:v>
                </c:pt>
                <c:pt idx="26">
                  <c:v>Brimbank </c:v>
                </c:pt>
                <c:pt idx="27">
                  <c:v>Macedon Ranges </c:v>
                </c:pt>
                <c:pt idx="28">
                  <c:v>Casey </c:v>
                </c:pt>
                <c:pt idx="29">
                  <c:v>Mount Alexander </c:v>
                </c:pt>
                <c:pt idx="30">
                  <c:v>Ballarat </c:v>
                </c:pt>
                <c:pt idx="31">
                  <c:v>Melton </c:v>
                </c:pt>
                <c:pt idx="32">
                  <c:v>Hume </c:v>
                </c:pt>
                <c:pt idx="33">
                  <c:v>Alpine </c:v>
                </c:pt>
                <c:pt idx="34">
                  <c:v>Hepburn </c:v>
                </c:pt>
                <c:pt idx="35">
                  <c:v>Mornington Peninsula </c:v>
                </c:pt>
                <c:pt idx="36">
                  <c:v>Yarra Ranges </c:v>
                </c:pt>
                <c:pt idx="37">
                  <c:v>Warrnambool </c:v>
                </c:pt>
                <c:pt idx="38">
                  <c:v>Greater Bendigo </c:v>
                </c:pt>
                <c:pt idx="39">
                  <c:v>Cardinia </c:v>
                </c:pt>
                <c:pt idx="40">
                  <c:v>Indigo </c:v>
                </c:pt>
                <c:pt idx="41">
                  <c:v>Frankston </c:v>
                </c:pt>
                <c:pt idx="42">
                  <c:v>Mansfield </c:v>
                </c:pt>
                <c:pt idx="43">
                  <c:v>Moyne </c:v>
                </c:pt>
                <c:pt idx="44">
                  <c:v>Wangaratta </c:v>
                </c:pt>
                <c:pt idx="45">
                  <c:v>Bass Coast </c:v>
                </c:pt>
                <c:pt idx="46">
                  <c:v>Buloke </c:v>
                </c:pt>
                <c:pt idx="47">
                  <c:v>Moorabool </c:v>
                </c:pt>
                <c:pt idx="48">
                  <c:v>Greater Shepparton </c:v>
                </c:pt>
                <c:pt idx="49">
                  <c:v>Southern Grampians </c:v>
                </c:pt>
                <c:pt idx="50">
                  <c:v>Baw Baw </c:v>
                </c:pt>
                <c:pt idx="51">
                  <c:v>West Wimmera </c:v>
                </c:pt>
                <c:pt idx="52">
                  <c:v>Strathbogie </c:v>
                </c:pt>
                <c:pt idx="53">
                  <c:v>Horsham </c:v>
                </c:pt>
                <c:pt idx="54">
                  <c:v>Wodonga </c:v>
                </c:pt>
                <c:pt idx="55">
                  <c:v>Golden Plains </c:v>
                </c:pt>
                <c:pt idx="56">
                  <c:v>Towong </c:v>
                </c:pt>
                <c:pt idx="57">
                  <c:v>South Gippsland </c:v>
                </c:pt>
                <c:pt idx="58">
                  <c:v>Benalla </c:v>
                </c:pt>
                <c:pt idx="59">
                  <c:v>Corangamite </c:v>
                </c:pt>
                <c:pt idx="60">
                  <c:v>Wellington </c:v>
                </c:pt>
                <c:pt idx="61">
                  <c:v>Mitchell </c:v>
                </c:pt>
                <c:pt idx="62">
                  <c:v>Campaspe </c:v>
                </c:pt>
                <c:pt idx="63">
                  <c:v>Mildura </c:v>
                </c:pt>
                <c:pt idx="64">
                  <c:v>Northern Grampians </c:v>
                </c:pt>
                <c:pt idx="65">
                  <c:v>Ararat </c:v>
                </c:pt>
                <c:pt idx="66">
                  <c:v>Loddon </c:v>
                </c:pt>
                <c:pt idx="67">
                  <c:v>Hindmarsh </c:v>
                </c:pt>
                <c:pt idx="68">
                  <c:v>Colac-Otway </c:v>
                </c:pt>
                <c:pt idx="69">
                  <c:v>East Gippsland </c:v>
                </c:pt>
                <c:pt idx="70">
                  <c:v>Murrindindi </c:v>
                </c:pt>
                <c:pt idx="71">
                  <c:v>Latrobe </c:v>
                </c:pt>
                <c:pt idx="72">
                  <c:v>Yarriambiack </c:v>
                </c:pt>
                <c:pt idx="73">
                  <c:v>Moira </c:v>
                </c:pt>
                <c:pt idx="74">
                  <c:v>Swan Hill </c:v>
                </c:pt>
                <c:pt idx="75">
                  <c:v>Glenelg </c:v>
                </c:pt>
                <c:pt idx="76">
                  <c:v>Gannawarra </c:v>
                </c:pt>
                <c:pt idx="77">
                  <c:v>Pyrenees </c:v>
                </c:pt>
                <c:pt idx="78">
                  <c:v>Central Goldfields </c:v>
                </c:pt>
              </c:strCache>
            </c:strRef>
          </c:cat>
          <c:val>
            <c:numRef>
              <c:f>'Municipal Comparison'!$H$15:$H$93</c:f>
              <c:numCache>
                <c:formatCode>0.0</c:formatCode>
                <c:ptCount val="79"/>
                <c:pt idx="0">
                  <c:v>69.683817188847371</c:v>
                </c:pt>
                <c:pt idx="1">
                  <c:v>69.570808957030465</c:v>
                </c:pt>
                <c:pt idx="2">
                  <c:v>68.140089337096825</c:v>
                </c:pt>
                <c:pt idx="3">
                  <c:v>67.246763713292694</c:v>
                </c:pt>
                <c:pt idx="4">
                  <c:v>64.276051925860884</c:v>
                </c:pt>
                <c:pt idx="5">
                  <c:v>64.196028434554165</c:v>
                </c:pt>
                <c:pt idx="6">
                  <c:v>63.066750629722925</c:v>
                </c:pt>
                <c:pt idx="7">
                  <c:v>61.167718783560787</c:v>
                </c:pt>
                <c:pt idx="8">
                  <c:v>61.085811868507193</c:v>
                </c:pt>
                <c:pt idx="9">
                  <c:v>60.932835820895527</c:v>
                </c:pt>
                <c:pt idx="10">
                  <c:v>57.836889704225804</c:v>
                </c:pt>
                <c:pt idx="11">
                  <c:v>57.225433526011557</c:v>
                </c:pt>
                <c:pt idx="12">
                  <c:v>56.627592425608654</c:v>
                </c:pt>
                <c:pt idx="13">
                  <c:v>56.607081679127788</c:v>
                </c:pt>
                <c:pt idx="14">
                  <c:v>54.369930645350884</c:v>
                </c:pt>
                <c:pt idx="15">
                  <c:v>54.159318941927637</c:v>
                </c:pt>
                <c:pt idx="16">
                  <c:v>49.382990825234316</c:v>
                </c:pt>
                <c:pt idx="17">
                  <c:v>48.496063858518973</c:v>
                </c:pt>
                <c:pt idx="18">
                  <c:v>47.861155698234349</c:v>
                </c:pt>
                <c:pt idx="19">
                  <c:v>45.945945945945951</c:v>
                </c:pt>
                <c:pt idx="20">
                  <c:v>45.325602725366878</c:v>
                </c:pt>
                <c:pt idx="21">
                  <c:v>44.903732809430259</c:v>
                </c:pt>
                <c:pt idx="22">
                  <c:v>44.616824271079594</c:v>
                </c:pt>
                <c:pt idx="23">
                  <c:v>37.992930600608027</c:v>
                </c:pt>
                <c:pt idx="24">
                  <c:v>36.871160372900285</c:v>
                </c:pt>
                <c:pt idx="25">
                  <c:v>36.513186781020401</c:v>
                </c:pt>
                <c:pt idx="26">
                  <c:v>35.426295128884419</c:v>
                </c:pt>
                <c:pt idx="27">
                  <c:v>35.269472481432103</c:v>
                </c:pt>
                <c:pt idx="28">
                  <c:v>34.13356653877981</c:v>
                </c:pt>
                <c:pt idx="29">
                  <c:v>33.424209378407852</c:v>
                </c:pt>
                <c:pt idx="30">
                  <c:v>32.956259426847659</c:v>
                </c:pt>
                <c:pt idx="31">
                  <c:v>32.6083362418943</c:v>
                </c:pt>
                <c:pt idx="32">
                  <c:v>32.592447168038589</c:v>
                </c:pt>
                <c:pt idx="33">
                  <c:v>30.963207937164118</c:v>
                </c:pt>
                <c:pt idx="34">
                  <c:v>29.822012350163458</c:v>
                </c:pt>
                <c:pt idx="35">
                  <c:v>29.760566175011576</c:v>
                </c:pt>
                <c:pt idx="36">
                  <c:v>29.699808388332976</c:v>
                </c:pt>
                <c:pt idx="37">
                  <c:v>28.508069483799432</c:v>
                </c:pt>
                <c:pt idx="38">
                  <c:v>28.464286977747904</c:v>
                </c:pt>
                <c:pt idx="39">
                  <c:v>28.039482238903009</c:v>
                </c:pt>
                <c:pt idx="40">
                  <c:v>27.589483687044662</c:v>
                </c:pt>
                <c:pt idx="41">
                  <c:v>27.25740029297145</c:v>
                </c:pt>
                <c:pt idx="42">
                  <c:v>26.940133037694014</c:v>
                </c:pt>
                <c:pt idx="43">
                  <c:v>26.666666666666668</c:v>
                </c:pt>
                <c:pt idx="44">
                  <c:v>26.527494908350306</c:v>
                </c:pt>
                <c:pt idx="45">
                  <c:v>25.591157128865262</c:v>
                </c:pt>
                <c:pt idx="46">
                  <c:v>24.840085287846481</c:v>
                </c:pt>
                <c:pt idx="47">
                  <c:v>24.70334412081985</c:v>
                </c:pt>
                <c:pt idx="48">
                  <c:v>24.247535028541776</c:v>
                </c:pt>
                <c:pt idx="49">
                  <c:v>23.68839427662957</c:v>
                </c:pt>
                <c:pt idx="50">
                  <c:v>23.470671489227865</c:v>
                </c:pt>
                <c:pt idx="51">
                  <c:v>23.382352941176471</c:v>
                </c:pt>
                <c:pt idx="52">
                  <c:v>22.960561858454888</c:v>
                </c:pt>
                <c:pt idx="53">
                  <c:v>22.597114317425081</c:v>
                </c:pt>
                <c:pt idx="54">
                  <c:v>22.562014769929934</c:v>
                </c:pt>
                <c:pt idx="55">
                  <c:v>21.900305920460681</c:v>
                </c:pt>
                <c:pt idx="56">
                  <c:v>21.840242669362993</c:v>
                </c:pt>
                <c:pt idx="57">
                  <c:v>21.816799695933106</c:v>
                </c:pt>
                <c:pt idx="58">
                  <c:v>21.788617886178862</c:v>
                </c:pt>
                <c:pt idx="59">
                  <c:v>21.7542638357118</c:v>
                </c:pt>
                <c:pt idx="60">
                  <c:v>21.55310728420152</c:v>
                </c:pt>
                <c:pt idx="61">
                  <c:v>21.230965478753088</c:v>
                </c:pt>
                <c:pt idx="62">
                  <c:v>21.204041538029749</c:v>
                </c:pt>
                <c:pt idx="63">
                  <c:v>20.948000311842208</c:v>
                </c:pt>
                <c:pt idx="64">
                  <c:v>20.753860127157132</c:v>
                </c:pt>
                <c:pt idx="65">
                  <c:v>20.598947794415217</c:v>
                </c:pt>
                <c:pt idx="66">
                  <c:v>20.427350427350426</c:v>
                </c:pt>
                <c:pt idx="67">
                  <c:v>20.377358490566039</c:v>
                </c:pt>
                <c:pt idx="68">
                  <c:v>20.259740259740262</c:v>
                </c:pt>
                <c:pt idx="69">
                  <c:v>19.949937421777221</c:v>
                </c:pt>
                <c:pt idx="70">
                  <c:v>19.581233036060489</c:v>
                </c:pt>
                <c:pt idx="71">
                  <c:v>19.329668380918601</c:v>
                </c:pt>
                <c:pt idx="72">
                  <c:v>18.796992481203006</c:v>
                </c:pt>
                <c:pt idx="73">
                  <c:v>18.740955137481912</c:v>
                </c:pt>
                <c:pt idx="74">
                  <c:v>18.368556191981039</c:v>
                </c:pt>
                <c:pt idx="75">
                  <c:v>17.754130495659478</c:v>
                </c:pt>
                <c:pt idx="76">
                  <c:v>17.235294117647058</c:v>
                </c:pt>
                <c:pt idx="77">
                  <c:v>17.009493670886076</c:v>
                </c:pt>
                <c:pt idx="78">
                  <c:v>14.94473810667948</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8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{DB67E365-E249-4A44-BD1A-5BC9F2A14230}</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{6912AD82-E7B7-40A1-82DB-461C6C8194BA}</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{01447E46-70F7-4274-A10F-E9AF20FE224F}</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{C6EF874E-B472-43EA-8919-8F0C10A124A0}</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{A8064309-FA89-4FF7-A368-56C9101E7455}</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{4360E037-8B72-444C-8985-AC3095D520A9}</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{484CB149-D5BF-41C2-BA4E-16FAF71390FE}</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{845C128B-C46C-432D-B876-9B50FA4ECF6E}</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{65981140-76BA-432A-96DA-EFC1A81C9101}</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{45DD18A4-F4DC-48B1-862C-6FF88A4BAA60}</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{32488E52-F535-430F-A261-1E35CB18E733}</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{8784E75E-2BE8-4B69-9F99-63CCF85157F0}</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{B55D9255-077D-4AD7-BAB2-FD6634802045}</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{35CE5892-9D31-49F2-8C12-C9529B20799C}</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{87A49827-F28D-4C98-B49B-321CCF290AE8}</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{CC12DDF9-EB15-40D7-9EC9-E69B85AEE770}</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{84D90D2C-E8E3-4D1B-8A4D-96DE4C87FBE3}</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{F63E9EEC-75D1-4BE2-B66D-A9F1C82C1EFC}</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{F5B45B4E-9DA5-4F9F-AE2D-6433ACDBA71A}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{3C228238-96BD-463D-AA65-47F8D8DC12EE}</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{626461F2-9D24-4019-B37C-D8900957BF8A}</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{3D8C6A5D-8770-4E4D-923E-B78FF09C9CAB}</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{0C0BE9CD-7545-4EBA-A083-5675801FAEDB}</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{EE70AB0B-9273-4F67-9700-1A5A24CD5ECD}</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{8745A8C8-E103-4D5A-B11A-F7AF2B6CCCDB}</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{A2790EEC-C072-4C6F-855A-88C10D7B953A}</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{1B3C2B45-5737-45C8-BFE5-87C55B50EC28}</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{F719A266-EF26-473F-8011-FC3527FC2231}</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1" val="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12</xdr:row>
      <xdr:rowOff>285750</xdr:rowOff>
    </xdr:from>
    <xdr:to>
      <xdr:col>11</xdr:col>
      <xdr:colOff>200025</xdr:colOff>
      <xdr:row>72</xdr:row>
      <xdr:rowOff>152400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64</v>
      </c>
      <c r="CH2" s="53" t="s">
        <v>64</v>
      </c>
      <c r="CI2" s="53" t="s">
        <v>64</v>
      </c>
      <c r="CJ2" s="53" t="s">
        <v>64</v>
      </c>
      <c r="CK2" s="53" t="s">
        <v>64</v>
      </c>
      <c r="CL2" s="53" t="s">
        <v>38</v>
      </c>
      <c r="CM2" s="53" t="s">
        <v>38</v>
      </c>
      <c r="CN2" s="53" t="s">
        <v>65</v>
      </c>
      <c r="CO2" s="53" t="s">
        <v>65</v>
      </c>
      <c r="CP2" s="53" t="s">
        <v>65</v>
      </c>
      <c r="CQ2" s="53" t="s">
        <v>65</v>
      </c>
      <c r="CR2" s="53" t="s">
        <v>65</v>
      </c>
      <c r="CS2" s="53" t="s">
        <v>65</v>
      </c>
      <c r="CT2" s="53" t="s">
        <v>65</v>
      </c>
      <c r="CU2" s="53" t="s">
        <v>42</v>
      </c>
      <c r="CV2" s="53" t="s">
        <v>42</v>
      </c>
      <c r="CW2" s="53" t="s">
        <v>42</v>
      </c>
      <c r="CX2" s="53" t="s">
        <v>38</v>
      </c>
      <c r="CY2" s="53" t="s">
        <v>36</v>
      </c>
      <c r="CZ2" s="53" t="s">
        <v>183</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267</v>
      </c>
      <c r="D3" s="28" t="s">
        <v>323</v>
      </c>
      <c r="E3" s="80" t="s">
        <v>269</v>
      </c>
      <c r="F3" s="28" t="s">
        <v>322</v>
      </c>
      <c r="G3" s="87" t="s">
        <v>307</v>
      </c>
      <c r="H3" s="28" t="s">
        <v>265</v>
      </c>
      <c r="I3" s="28" t="s">
        <v>266</v>
      </c>
      <c r="J3" s="80" t="s">
        <v>282</v>
      </c>
      <c r="K3" s="80" t="s">
        <v>283</v>
      </c>
      <c r="L3" s="80" t="s">
        <v>270</v>
      </c>
      <c r="M3" s="80" t="s">
        <v>293</v>
      </c>
      <c r="N3" s="80" t="s">
        <v>284</v>
      </c>
      <c r="O3" s="28" t="s">
        <v>281</v>
      </c>
      <c r="P3" s="80" t="s">
        <v>294</v>
      </c>
      <c r="Q3" s="80" t="s">
        <v>279</v>
      </c>
      <c r="R3" s="80" t="s">
        <v>275</v>
      </c>
      <c r="S3" s="80" t="s">
        <v>274</v>
      </c>
      <c r="T3" s="80" t="s">
        <v>296</v>
      </c>
      <c r="U3" s="87" t="s">
        <v>306</v>
      </c>
      <c r="V3" s="80" t="s">
        <v>295</v>
      </c>
      <c r="W3" s="28" t="s">
        <v>254</v>
      </c>
      <c r="X3" s="28" t="s">
        <v>256</v>
      </c>
      <c r="Y3" s="28" t="str">
        <f>R3</f>
        <v>Per cent of prep. pupils developmentally vulnerable in 1 or more domains, 2021</v>
      </c>
      <c r="Z3" s="28" t="str">
        <f>S3</f>
        <v>Per cent prep pupils who had not attended pre-school before their first year at school: 2021</v>
      </c>
      <c r="AA3" s="28" t="s">
        <v>264</v>
      </c>
      <c r="AB3" s="87" t="s">
        <v>305</v>
      </c>
      <c r="AC3" s="80" t="s">
        <v>297</v>
      </c>
      <c r="AD3" s="80" t="s">
        <v>285</v>
      </c>
      <c r="AE3" s="80" t="s">
        <v>286</v>
      </c>
      <c r="AF3" s="87" t="s">
        <v>308</v>
      </c>
      <c r="AG3" s="80" t="s">
        <v>268</v>
      </c>
      <c r="AH3" s="80" t="s">
        <v>287</v>
      </c>
      <c r="AI3" s="87" t="s">
        <v>309</v>
      </c>
      <c r="AJ3" s="80" t="s">
        <v>277</v>
      </c>
      <c r="AK3" s="80" t="s">
        <v>278</v>
      </c>
      <c r="AL3" s="28" t="str">
        <f>AG3</f>
        <v>Median weekly gross individual income, persons aged 15 years or more, 2021</v>
      </c>
      <c r="AM3" s="80" t="s">
        <v>292</v>
      </c>
      <c r="AN3" s="80" t="s">
        <v>288</v>
      </c>
      <c r="AO3" s="87" t="s">
        <v>311</v>
      </c>
      <c r="AP3" s="80" t="s">
        <v>271</v>
      </c>
      <c r="AQ3" s="80" t="s">
        <v>272</v>
      </c>
      <c r="AR3" s="80" t="s">
        <v>298</v>
      </c>
      <c r="AS3" s="80" t="s">
        <v>289</v>
      </c>
      <c r="AT3" s="80" t="s">
        <v>273</v>
      </c>
      <c r="AU3" s="80" t="s">
        <v>299</v>
      </c>
      <c r="AV3" s="80" t="s">
        <v>280</v>
      </c>
      <c r="AW3" s="80" t="s">
        <v>300</v>
      </c>
      <c r="AX3" s="87" t="str">
        <f>AF3</f>
        <v>Rate of Police callouts to family incidents, 2022/23 [per 100,000 residents]</v>
      </c>
      <c r="AY3" s="80" t="s">
        <v>301</v>
      </c>
      <c r="AZ3" s="28" t="s">
        <v>250</v>
      </c>
      <c r="BA3" s="28"/>
      <c r="BB3" s="87" t="s">
        <v>313</v>
      </c>
      <c r="BC3" s="87" t="s">
        <v>314</v>
      </c>
      <c r="BD3" s="87" t="s">
        <v>257</v>
      </c>
      <c r="BE3" s="87" t="s">
        <v>258</v>
      </c>
      <c r="BF3" s="87" t="s">
        <v>259</v>
      </c>
      <c r="BG3" s="87" t="s">
        <v>260</v>
      </c>
      <c r="BH3" s="87" t="s">
        <v>261</v>
      </c>
      <c r="BI3" s="87" t="s">
        <v>262</v>
      </c>
      <c r="BJ3" s="87" t="s">
        <v>315</v>
      </c>
      <c r="BK3" s="28" t="s">
        <v>317</v>
      </c>
      <c r="BL3" s="87" t="s">
        <v>316</v>
      </c>
      <c r="BM3" s="28" t="str">
        <f>BC3</f>
        <v>Self-reported health status - Fair/poor, 2020</v>
      </c>
      <c r="BN3" s="80" t="s">
        <v>290</v>
      </c>
      <c r="BO3" s="80" t="s">
        <v>302</v>
      </c>
      <c r="BP3" s="80" t="s">
        <v>291</v>
      </c>
      <c r="BQ3" s="87" t="s">
        <v>312</v>
      </c>
      <c r="BR3" s="81" t="s">
        <v>255</v>
      </c>
      <c r="BS3" s="81" t="s">
        <v>249</v>
      </c>
      <c r="BT3" s="81" t="s">
        <v>96</v>
      </c>
      <c r="BU3" s="81" t="s">
        <v>184</v>
      </c>
      <c r="BV3" s="87" t="str">
        <f>AF3</f>
        <v>Rate of Police callouts to family incidents, 2022/23 [per 100,000 residents]</v>
      </c>
      <c r="BW3" s="28" t="str">
        <f>P3</f>
        <v>Youth disengagement rate [per cent not in paid employment or enrolled in formal education], 20-24 year-olds, 2021</v>
      </c>
      <c r="BX3" s="87" t="str">
        <f>AB3</f>
        <v>Birth rate per 1,000 women aged 20-24, 2022</v>
      </c>
      <c r="BY3" s="28" t="s">
        <v>327</v>
      </c>
      <c r="BZ3" s="28" t="s">
        <v>326</v>
      </c>
      <c r="CA3"/>
      <c r="CB3"/>
      <c r="CC3"/>
      <c r="CD3"/>
      <c r="CE3" s="28" t="str">
        <f>Q3</f>
        <v>Per cent of  20-24 year olds who left school before completing year 11, 2021</v>
      </c>
      <c r="CF3" s="28" t="s">
        <v>184</v>
      </c>
      <c r="CG3" s="28" t="s">
        <v>251</v>
      </c>
      <c r="CH3" s="28" t="s">
        <v>97</v>
      </c>
      <c r="CI3" s="28" t="s">
        <v>252</v>
      </c>
      <c r="CJ3" s="28" t="s">
        <v>88</v>
      </c>
      <c r="CK3" s="80" t="s">
        <v>303</v>
      </c>
      <c r="CL3" s="28" t="s">
        <v>325</v>
      </c>
      <c r="CM3" s="28" t="s">
        <v>326</v>
      </c>
      <c r="CN3" s="28" t="s">
        <v>98</v>
      </c>
      <c r="CO3" s="28" t="s">
        <v>253</v>
      </c>
      <c r="CP3" s="28" t="s">
        <v>89</v>
      </c>
      <c r="CQ3" s="28" t="s">
        <v>90</v>
      </c>
      <c r="CR3" s="28" t="s">
        <v>91</v>
      </c>
      <c r="CS3" s="28" t="s">
        <v>99</v>
      </c>
      <c r="CT3" s="28" t="s">
        <v>93</v>
      </c>
      <c r="CU3" s="80" t="s">
        <v>319</v>
      </c>
      <c r="CV3" s="80" t="s">
        <v>276</v>
      </c>
      <c r="CW3" s="81" t="s">
        <v>318</v>
      </c>
      <c r="CX3" s="28" t="s">
        <v>324</v>
      </c>
      <c r="CY3" s="80" t="s">
        <v>320</v>
      </c>
      <c r="CZ3" s="80" t="s">
        <v>321</v>
      </c>
      <c r="DA3" s="28" t="s">
        <v>263</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100</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185</v>
      </c>
      <c r="BV4" s="77">
        <f t="shared" ref="BV4:BV67" si="2">AF4</f>
        <v>1130.9297912713471</v>
      </c>
      <c r="BW4" s="77">
        <f>P4</f>
        <v>11.471861471861471</v>
      </c>
      <c r="BX4" s="77">
        <f t="shared" ref="BX4:BX67" si="3">AB4</f>
        <v>37.284107781648316</v>
      </c>
      <c r="BY4" s="88">
        <v>5.2875969999999999</v>
      </c>
      <c r="BZ4" s="88">
        <v>7.5698410000000003</v>
      </c>
      <c r="CA4"/>
      <c r="CB4"/>
      <c r="CC4"/>
      <c r="CD4"/>
      <c r="CE4" s="77">
        <f>Q4</f>
        <v>11.373390557939913</v>
      </c>
      <c r="CF4" s="74" t="s">
        <v>185</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102</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186</v>
      </c>
      <c r="BV5" s="77">
        <f t="shared" si="2"/>
        <v>2469.9770036623795</v>
      </c>
      <c r="BW5" s="77">
        <f t="shared" ref="BW5:BW68" si="10">P5</f>
        <v>17.827868852459016</v>
      </c>
      <c r="BX5" s="77">
        <f t="shared" si="3"/>
        <v>51.741083545722091</v>
      </c>
      <c r="BY5" s="88">
        <v>6.0988980000000002</v>
      </c>
      <c r="BZ5" s="88">
        <v>2.085013</v>
      </c>
      <c r="CA5"/>
      <c r="CB5"/>
      <c r="CC5"/>
      <c r="CD5"/>
      <c r="CE5" s="77">
        <f t="shared" ref="CE5:CE68" si="11">Q5</f>
        <v>23.540856031128403</v>
      </c>
      <c r="CF5" s="74" t="s">
        <v>186</v>
      </c>
      <c r="CG5" s="74">
        <v>20.100000000000001</v>
      </c>
      <c r="CH5" s="74">
        <v>0.5</v>
      </c>
      <c r="CI5" s="74">
        <v>5.2000000000000028</v>
      </c>
      <c r="CJ5" s="74" t="s">
        <v>101</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103</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187</v>
      </c>
      <c r="BV6" s="77">
        <f t="shared" si="2"/>
        <v>1929.2687769212841</v>
      </c>
      <c r="BW6" s="77">
        <f t="shared" si="10"/>
        <v>13.210059171597631</v>
      </c>
      <c r="BX6" s="77">
        <f t="shared" si="3"/>
        <v>41.182233244714304</v>
      </c>
      <c r="BY6" s="88">
        <v>7.1987750000000004</v>
      </c>
      <c r="BZ6" s="88">
        <v>4.5486209999999998</v>
      </c>
      <c r="CA6"/>
      <c r="CB6"/>
      <c r="CC6"/>
      <c r="CD6"/>
      <c r="CE6" s="77">
        <f t="shared" si="11"/>
        <v>13.107728683316092</v>
      </c>
      <c r="CF6" s="74" t="s">
        <v>187</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104</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185</v>
      </c>
      <c r="BV7" s="77">
        <f t="shared" si="2"/>
        <v>913.81965615865738</v>
      </c>
      <c r="BW7" s="77">
        <f t="shared" si="10"/>
        <v>8.4001187295933502</v>
      </c>
      <c r="BX7" s="77">
        <f t="shared" si="3"/>
        <v>6.7397993489722419</v>
      </c>
      <c r="BY7" s="88">
        <v>8.7605660000000007</v>
      </c>
      <c r="BZ7" s="88">
        <v>4.5703940000000003</v>
      </c>
      <c r="CA7"/>
      <c r="CB7"/>
      <c r="CC7"/>
      <c r="CD7"/>
      <c r="CE7" s="77">
        <f t="shared" si="11"/>
        <v>4.5</v>
      </c>
      <c r="CF7" s="74" t="s">
        <v>185</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105</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188</v>
      </c>
      <c r="BV8" s="77">
        <f t="shared" si="2"/>
        <v>1878.2492034210968</v>
      </c>
      <c r="BW8" s="77">
        <f t="shared" si="10"/>
        <v>15.233785822021115</v>
      </c>
      <c r="BX8" s="77">
        <f t="shared" si="3"/>
        <v>45.749771739812736</v>
      </c>
      <c r="BY8" s="88">
        <v>7.9833990000000004</v>
      </c>
      <c r="BZ8" s="88">
        <v>4.199694</v>
      </c>
      <c r="CA8"/>
      <c r="CB8"/>
      <c r="CC8"/>
      <c r="CD8"/>
      <c r="CE8" s="77">
        <f t="shared" si="11"/>
        <v>17.481481481481481</v>
      </c>
      <c r="CF8" s="74" t="s">
        <v>188</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106</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189</v>
      </c>
      <c r="BV9" s="77">
        <f t="shared" si="2"/>
        <v>1613.6663174613902</v>
      </c>
      <c r="BW9" s="77">
        <f t="shared" si="10"/>
        <v>11.842105263157894</v>
      </c>
      <c r="BX9" s="77">
        <f t="shared" si="3"/>
        <v>48.120647585594412</v>
      </c>
      <c r="BY9" s="88">
        <v>10.590350000000001</v>
      </c>
      <c r="BZ9" s="88">
        <v>6.2350099999999999</v>
      </c>
      <c r="CA9"/>
      <c r="CB9"/>
      <c r="CC9"/>
      <c r="CD9"/>
      <c r="CE9" s="77">
        <f t="shared" si="11"/>
        <v>15.661337209302326</v>
      </c>
      <c r="CF9" s="74" t="s">
        <v>189</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107</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190</v>
      </c>
      <c r="BV10" s="77">
        <f t="shared" si="2"/>
        <v>780.59960235453127</v>
      </c>
      <c r="BW10" s="77">
        <f t="shared" si="10"/>
        <v>5.7714958775029448</v>
      </c>
      <c r="BX10" s="77">
        <f t="shared" si="3"/>
        <v>0.36360521372326982</v>
      </c>
      <c r="BY10" s="88">
        <v>3.5335930000000002</v>
      </c>
      <c r="BZ10" s="88">
        <v>2.4023319999999999</v>
      </c>
      <c r="CA10"/>
      <c r="CB10"/>
      <c r="CC10"/>
      <c r="CD10"/>
      <c r="CE10" s="77">
        <f t="shared" si="11"/>
        <v>2.3772102161100195</v>
      </c>
      <c r="CF10" s="74" t="s">
        <v>190</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108</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191</v>
      </c>
      <c r="BV11" s="77">
        <f t="shared" si="2"/>
        <v>2927.3356401384081</v>
      </c>
      <c r="BW11" s="77">
        <f t="shared" si="10"/>
        <v>16.022099447513813</v>
      </c>
      <c r="BX11" s="77">
        <f t="shared" si="3"/>
        <v>57.832090399271856</v>
      </c>
      <c r="BY11" s="88">
        <v>9.8440300000000001</v>
      </c>
      <c r="BZ11" s="88">
        <v>5.1342499999999998</v>
      </c>
      <c r="CA11"/>
      <c r="CB11"/>
      <c r="CC11"/>
      <c r="CD11"/>
      <c r="CE11" s="77">
        <f t="shared" si="11"/>
        <v>17.059891107078041</v>
      </c>
      <c r="CF11" s="74" t="s">
        <v>191</v>
      </c>
      <c r="CG11" s="74">
        <v>15.2</v>
      </c>
      <c r="CH11" s="74">
        <v>0.7</v>
      </c>
      <c r="CI11" s="74">
        <v>11.900000000000006</v>
      </c>
      <c r="CJ11" s="74" t="s">
        <v>101</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109</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192</v>
      </c>
      <c r="BV12" s="77">
        <f t="shared" si="2"/>
        <v>618.02362302329834</v>
      </c>
      <c r="BW12" s="77">
        <f t="shared" si="10"/>
        <v>4.6355953476696516</v>
      </c>
      <c r="BX12" s="77">
        <f t="shared" si="3"/>
        <v>1.5156155269410736</v>
      </c>
      <c r="BY12" s="88">
        <v>3.5271650000000001</v>
      </c>
      <c r="BZ12" s="88">
        <v>3.0194290000000001</v>
      </c>
      <c r="CA12"/>
      <c r="CB12"/>
      <c r="CC12"/>
      <c r="CD12"/>
      <c r="CE12" s="77">
        <f t="shared" si="11"/>
        <v>1.563283731817422</v>
      </c>
      <c r="CF12" s="74" t="s">
        <v>192</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110</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193</v>
      </c>
      <c r="BV13" s="77">
        <f t="shared" si="2"/>
        <v>1470.9080177689416</v>
      </c>
      <c r="BW13" s="77">
        <f t="shared" si="10"/>
        <v>12.599629659447709</v>
      </c>
      <c r="BX13" s="77">
        <f t="shared" si="3"/>
        <v>21.411381680703613</v>
      </c>
      <c r="BY13" s="88">
        <v>8.5007199999999994</v>
      </c>
      <c r="BZ13" s="88">
        <v>10.39044</v>
      </c>
      <c r="CA13"/>
      <c r="CB13"/>
      <c r="CC13"/>
      <c r="CD13"/>
      <c r="CE13" s="77">
        <f t="shared" si="11"/>
        <v>6.2585252346946962</v>
      </c>
      <c r="CF13" s="74" t="s">
        <v>193</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111</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194</v>
      </c>
      <c r="BV14" s="77">
        <f t="shared" si="2"/>
        <v>949.26350245499191</v>
      </c>
      <c r="BW14" s="77">
        <f t="shared" si="10"/>
        <v>17.241379310344829</v>
      </c>
      <c r="BX14" s="77">
        <f t="shared" si="3"/>
        <v>102.10765441920307</v>
      </c>
      <c r="BY14" s="88">
        <v>7.8343809999999996</v>
      </c>
      <c r="BZ14" s="88">
        <v>10.96522</v>
      </c>
      <c r="CA14"/>
      <c r="CB14"/>
      <c r="CC14"/>
      <c r="CD14"/>
      <c r="CE14" s="77">
        <f t="shared" si="11"/>
        <v>10.550458715596331</v>
      </c>
      <c r="CF14" s="74" t="s">
        <v>194</v>
      </c>
      <c r="CG14" s="74">
        <v>21.4</v>
      </c>
      <c r="CH14" s="74">
        <v>0.4</v>
      </c>
      <c r="CI14" s="74">
        <v>6.0999999999999943</v>
      </c>
      <c r="CJ14" s="74" t="s">
        <v>101</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112</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193</v>
      </c>
      <c r="BV15" s="77">
        <f t="shared" si="2"/>
        <v>1994.4943645146211</v>
      </c>
      <c r="BW15" s="77">
        <f t="shared" si="10"/>
        <v>17.237442922374431</v>
      </c>
      <c r="BX15" s="77">
        <f t="shared" si="3"/>
        <v>67.931413060433911</v>
      </c>
      <c r="BY15" s="88">
        <v>11.39958</v>
      </c>
      <c r="BZ15" s="88">
        <v>7.4372720000000001</v>
      </c>
      <c r="CA15"/>
      <c r="CB15"/>
      <c r="CC15"/>
      <c r="CD15"/>
      <c r="CE15" s="77">
        <f t="shared" si="11"/>
        <v>17.046750285062714</v>
      </c>
      <c r="CF15" s="74" t="s">
        <v>193</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113</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195</v>
      </c>
      <c r="BV16" s="77">
        <f t="shared" si="2"/>
        <v>1272.150869777272</v>
      </c>
      <c r="BW16" s="77">
        <f t="shared" si="10"/>
        <v>12.016141085039605</v>
      </c>
      <c r="BX16" s="77">
        <f t="shared" si="3"/>
        <v>43.236908204675558</v>
      </c>
      <c r="BY16" s="88">
        <v>9.6526580000000006</v>
      </c>
      <c r="BZ16" s="88">
        <v>5.6866250000000003</v>
      </c>
      <c r="CA16"/>
      <c r="CB16"/>
      <c r="CC16"/>
      <c r="CD16"/>
      <c r="CE16" s="77">
        <f t="shared" si="11"/>
        <v>12.893128633179312</v>
      </c>
      <c r="CF16" s="74" t="s">
        <v>195</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114</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196</v>
      </c>
      <c r="BV17" s="77">
        <f t="shared" si="2"/>
        <v>1432.6026760235895</v>
      </c>
      <c r="BW17" s="77">
        <f t="shared" si="10"/>
        <v>13.416543446116377</v>
      </c>
      <c r="BX17" s="77">
        <f t="shared" si="3"/>
        <v>36.185285921274854</v>
      </c>
      <c r="BY17" s="88">
        <v>8.4601070000000007</v>
      </c>
      <c r="BZ17" s="88">
        <v>4.3087580000000001</v>
      </c>
      <c r="CA17"/>
      <c r="CB17"/>
      <c r="CC17"/>
      <c r="CD17"/>
      <c r="CE17" s="77">
        <f t="shared" si="11"/>
        <v>10.007393554560084</v>
      </c>
      <c r="CF17" s="74" t="s">
        <v>196</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115</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197</v>
      </c>
      <c r="BV18" s="77">
        <f t="shared" si="2"/>
        <v>2770.1651729501518</v>
      </c>
      <c r="BW18" s="77">
        <f t="shared" si="10"/>
        <v>25.736738703339885</v>
      </c>
      <c r="BX18" s="77">
        <f t="shared" si="3"/>
        <v>50.193830618719474</v>
      </c>
      <c r="BY18" s="88">
        <v>7.9830839999999998</v>
      </c>
      <c r="BZ18" s="88">
        <v>13.21505</v>
      </c>
      <c r="CA18"/>
      <c r="CB18"/>
      <c r="CC18"/>
      <c r="CD18"/>
      <c r="CE18" s="77">
        <f t="shared" si="11"/>
        <v>18.71345029239766</v>
      </c>
      <c r="CF18" s="74" t="s">
        <v>197</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116</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198</v>
      </c>
      <c r="BV19" s="77">
        <f t="shared" si="2"/>
        <v>1889.3448167019885</v>
      </c>
      <c r="BW19" s="77">
        <f t="shared" si="10"/>
        <v>13.4375</v>
      </c>
      <c r="BX19" s="77">
        <f t="shared" si="3"/>
        <v>49.857559432017695</v>
      </c>
      <c r="BY19" s="88">
        <v>6.3888429999999996</v>
      </c>
      <c r="BZ19" s="88">
        <v>9.2325309999999998</v>
      </c>
      <c r="CA19"/>
      <c r="CB19"/>
      <c r="CC19"/>
      <c r="CD19"/>
      <c r="CE19" s="77">
        <f t="shared" si="11"/>
        <v>15.329218106995885</v>
      </c>
      <c r="CF19" s="74" t="s">
        <v>198</v>
      </c>
      <c r="CG19" s="74">
        <v>8.4</v>
      </c>
      <c r="CH19" s="74">
        <v>0.6</v>
      </c>
      <c r="CI19" s="74">
        <v>7.5</v>
      </c>
      <c r="CJ19" s="74" t="s">
        <v>101</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117</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199</v>
      </c>
      <c r="BV20" s="77">
        <f t="shared" si="2"/>
        <v>1095.3245290104526</v>
      </c>
      <c r="BW20" s="77">
        <f t="shared" si="10"/>
        <v>9.024745269286754</v>
      </c>
      <c r="BX20" s="77">
        <f t="shared" si="3"/>
        <v>85.447989573520587</v>
      </c>
      <c r="BY20" s="88">
        <v>7.5871639999999996</v>
      </c>
      <c r="BZ20" s="88">
        <v>3.2851710000000001</v>
      </c>
      <c r="CA20"/>
      <c r="CB20"/>
      <c r="CC20"/>
      <c r="CD20"/>
      <c r="CE20" s="77">
        <f t="shared" si="11"/>
        <v>12.170087976539589</v>
      </c>
      <c r="CF20" s="74" t="s">
        <v>199</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118</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200</v>
      </c>
      <c r="BV21" s="77">
        <f t="shared" si="2"/>
        <v>1140.8614668218859</v>
      </c>
      <c r="BW21" s="77">
        <f t="shared" si="10"/>
        <v>9.3091072229699421</v>
      </c>
      <c r="BX21" s="77">
        <f t="shared" si="3"/>
        <v>11.65346584406668</v>
      </c>
      <c r="BY21" s="88">
        <v>5.044988</v>
      </c>
      <c r="BZ21" s="88">
        <v>4.5050749999999997</v>
      </c>
      <c r="CA21"/>
      <c r="CB21"/>
      <c r="CC21"/>
      <c r="CD21"/>
      <c r="CE21" s="77">
        <f t="shared" si="11"/>
        <v>4.6264142489078077</v>
      </c>
      <c r="CF21" s="74" t="s">
        <v>200</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119</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186</v>
      </c>
      <c r="BV22" s="77">
        <f t="shared" si="2"/>
        <v>3246.2617873872396</v>
      </c>
      <c r="BW22" s="77">
        <f t="shared" si="10"/>
        <v>17.928528164748634</v>
      </c>
      <c r="BX22" s="77">
        <f t="shared" si="3"/>
        <v>67.475049135649684</v>
      </c>
      <c r="BY22" s="88">
        <v>7.3860250000000001</v>
      </c>
      <c r="BZ22" s="88">
        <v>7.0049210000000004</v>
      </c>
      <c r="CA22"/>
      <c r="CB22"/>
      <c r="CC22"/>
      <c r="CD22"/>
      <c r="CE22" s="77">
        <f t="shared" si="11"/>
        <v>18.274415817855001</v>
      </c>
      <c r="CF22" s="74" t="s">
        <v>186</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120</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201</v>
      </c>
      <c r="BV23" s="77">
        <f t="shared" si="2"/>
        <v>1869.4770286946286</v>
      </c>
      <c r="BW23" s="77">
        <f t="shared" si="10"/>
        <v>13.479623824451412</v>
      </c>
      <c r="BX23" s="77">
        <f t="shared" si="3"/>
        <v>29.72464710710922</v>
      </c>
      <c r="BY23" s="88">
        <v>10.87907</v>
      </c>
      <c r="BZ23" s="88">
        <v>7.610125</v>
      </c>
      <c r="CA23"/>
      <c r="CB23"/>
      <c r="CC23"/>
      <c r="CD23"/>
      <c r="CE23" s="77">
        <f t="shared" si="11"/>
        <v>12.460847065232194</v>
      </c>
      <c r="CF23" s="74" t="s">
        <v>201</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121</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202</v>
      </c>
      <c r="BV24" s="77">
        <f t="shared" si="2"/>
        <v>1795.2127659574469</v>
      </c>
      <c r="BW24" s="77">
        <f t="shared" si="10"/>
        <v>17.994858611825194</v>
      </c>
      <c r="BX24" s="77">
        <f t="shared" si="3"/>
        <v>109.33480756419434</v>
      </c>
      <c r="BY24" s="88">
        <v>5.4575129999999996</v>
      </c>
      <c r="BZ24" s="88">
        <v>4.7195580000000001</v>
      </c>
      <c r="CA24"/>
      <c r="CB24"/>
      <c r="CC24"/>
      <c r="CD24"/>
      <c r="CE24" s="77">
        <f t="shared" si="11"/>
        <v>21</v>
      </c>
      <c r="CF24" s="74" t="s">
        <v>202</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122</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203</v>
      </c>
      <c r="BV25" s="77">
        <f t="shared" si="2"/>
        <v>743.6587747776282</v>
      </c>
      <c r="BW25" s="77">
        <f t="shared" si="10"/>
        <v>6.5764874078961837</v>
      </c>
      <c r="BX25" s="77">
        <f t="shared" si="3"/>
        <v>7.524954226755038</v>
      </c>
      <c r="BY25" s="88">
        <v>3.2515860000000001</v>
      </c>
      <c r="BZ25" s="88"/>
      <c r="CA25"/>
      <c r="CB25"/>
      <c r="CC25"/>
      <c r="CD25"/>
      <c r="CE25" s="77">
        <f t="shared" si="11"/>
        <v>2.8596568411790582</v>
      </c>
      <c r="CF25" s="74" t="s">
        <v>203</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123</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200</v>
      </c>
      <c r="BV26" s="77">
        <f t="shared" si="2"/>
        <v>2118.3053557154276</v>
      </c>
      <c r="BW26" s="77">
        <f t="shared" si="10"/>
        <v>18.380462724935732</v>
      </c>
      <c r="BX26" s="77">
        <f t="shared" si="3"/>
        <v>92.938750104926427</v>
      </c>
      <c r="BY26" s="88">
        <v>10.168229999999999</v>
      </c>
      <c r="BZ26" s="88">
        <v>3.9417369999999998</v>
      </c>
      <c r="CA26"/>
      <c r="CB26"/>
      <c r="CC26"/>
      <c r="CD26"/>
      <c r="CE26" s="77">
        <f t="shared" si="11"/>
        <v>17.276166456494323</v>
      </c>
      <c r="CF26" s="74" t="s">
        <v>200</v>
      </c>
      <c r="CG26" s="74">
        <v>15.1</v>
      </c>
      <c r="CH26" s="74">
        <v>0.5</v>
      </c>
      <c r="CI26" s="74">
        <v>6.9000000000000057</v>
      </c>
      <c r="CJ26" s="74" t="s">
        <v>101</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124</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204</v>
      </c>
      <c r="BV27" s="77">
        <f t="shared" si="2"/>
        <v>932.95382669196704</v>
      </c>
      <c r="BW27" s="77">
        <f t="shared" si="10"/>
        <v>11.920529801324504</v>
      </c>
      <c r="BX27" s="77">
        <f t="shared" si="3"/>
        <v>32.015327374913788</v>
      </c>
      <c r="BY27" s="88">
        <v>10.05096</v>
      </c>
      <c r="BZ27" s="88">
        <v>9.9435939999999992</v>
      </c>
      <c r="CA27"/>
      <c r="CB27"/>
      <c r="CC27"/>
      <c r="CD27"/>
      <c r="CE27" s="77">
        <f t="shared" si="11"/>
        <v>14.043355325164939</v>
      </c>
      <c r="CF27" s="74" t="s">
        <v>204</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125</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205</v>
      </c>
      <c r="BV28" s="77">
        <f t="shared" si="2"/>
        <v>2020.3833506050544</v>
      </c>
      <c r="BW28" s="77">
        <f t="shared" si="10"/>
        <v>13.101838342573679</v>
      </c>
      <c r="BX28" s="77">
        <f t="shared" si="3"/>
        <v>42.592339626289892</v>
      </c>
      <c r="BY28" s="88">
        <v>10.069660000000001</v>
      </c>
      <c r="BZ28" s="88">
        <v>10.56264</v>
      </c>
      <c r="CA28"/>
      <c r="CB28"/>
      <c r="CC28"/>
      <c r="CD28"/>
      <c r="CE28" s="77">
        <f t="shared" si="11"/>
        <v>13.419976635514018</v>
      </c>
      <c r="CF28" s="74" t="s">
        <v>205</v>
      </c>
      <c r="CG28" s="74">
        <v>15</v>
      </c>
      <c r="CH28" s="74">
        <v>0.9</v>
      </c>
      <c r="CI28" s="74">
        <v>4.9000000000000057</v>
      </c>
      <c r="CJ28" s="74" t="s">
        <v>101</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126</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206</v>
      </c>
      <c r="BV29" s="77">
        <f t="shared" si="2"/>
        <v>1667.7042654743714</v>
      </c>
      <c r="BW29" s="77">
        <f t="shared" si="10"/>
        <v>13.187019320952917</v>
      </c>
      <c r="BX29" s="77">
        <f t="shared" si="3"/>
        <v>27.983795712834993</v>
      </c>
      <c r="BY29" s="88">
        <v>8.5243590000000005</v>
      </c>
      <c r="BZ29" s="88">
        <v>12.93365</v>
      </c>
      <c r="CA29"/>
      <c r="CB29"/>
      <c r="CC29"/>
      <c r="CD29"/>
      <c r="CE29" s="77">
        <f t="shared" si="11"/>
        <v>8.1360390830514842</v>
      </c>
      <c r="CF29" s="74" t="s">
        <v>206</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127</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207</v>
      </c>
      <c r="BV30" s="77">
        <f t="shared" si="2"/>
        <v>1761.9406336467282</v>
      </c>
      <c r="BW30" s="77">
        <f t="shared" si="10"/>
        <v>11.171628396360711</v>
      </c>
      <c r="BX30" s="77">
        <f t="shared" si="3"/>
        <v>23.778258089456465</v>
      </c>
      <c r="BY30" s="88">
        <v>3.5477940000000001</v>
      </c>
      <c r="BZ30" s="88">
        <v>4.204161</v>
      </c>
      <c r="CA30"/>
      <c r="CB30"/>
      <c r="CC30"/>
      <c r="CD30"/>
      <c r="CE30" s="77">
        <f t="shared" si="11"/>
        <v>9.4312854675548987</v>
      </c>
      <c r="CF30" s="74" t="s">
        <v>207</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128</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208</v>
      </c>
      <c r="BV31" s="77">
        <f t="shared" si="2"/>
        <v>2535.1008377738735</v>
      </c>
      <c r="BW31" s="77">
        <f t="shared" si="10"/>
        <v>17.217787913340935</v>
      </c>
      <c r="BX31" s="77">
        <f t="shared" si="3"/>
        <v>61.110091366749536</v>
      </c>
      <c r="BY31" s="88">
        <v>11.358449999999999</v>
      </c>
      <c r="BZ31" s="88">
        <v>10.038690000000001</v>
      </c>
      <c r="CA31"/>
      <c r="CB31"/>
      <c r="CC31"/>
      <c r="CD31"/>
      <c r="CE31" s="77">
        <f t="shared" si="11"/>
        <v>14.899061700312766</v>
      </c>
      <c r="CF31" s="74" t="s">
        <v>208</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129</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209</v>
      </c>
      <c r="BV32" s="77">
        <f t="shared" si="2"/>
        <v>1038.9610389610389</v>
      </c>
      <c r="BW32" s="77">
        <f t="shared" si="10"/>
        <v>16.745283018867923</v>
      </c>
      <c r="BX32" s="77">
        <f t="shared" si="3"/>
        <v>28.936314448723387</v>
      </c>
      <c r="BY32" s="88">
        <v>4.1796579999999999</v>
      </c>
      <c r="BZ32" s="88">
        <v>6.1345359999999998</v>
      </c>
      <c r="CA32"/>
      <c r="CB32"/>
      <c r="CC32"/>
      <c r="CD32"/>
      <c r="CE32" s="77">
        <f t="shared" si="11"/>
        <v>15.839243498817968</v>
      </c>
      <c r="CF32" s="74" t="s">
        <v>209</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130</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210</v>
      </c>
      <c r="BV33" s="77">
        <f t="shared" si="2"/>
        <v>1570.8675473045341</v>
      </c>
      <c r="BW33" s="77">
        <f t="shared" si="10"/>
        <v>18.932038834951456</v>
      </c>
      <c r="BX33" s="77">
        <f t="shared" si="3"/>
        <v>8.8939085193525411</v>
      </c>
      <c r="BY33" s="88">
        <v>7.264481</v>
      </c>
      <c r="BZ33" s="88">
        <v>4.8038559999999997</v>
      </c>
      <c r="CA33"/>
      <c r="CB33"/>
      <c r="CC33"/>
      <c r="CD33"/>
      <c r="CE33" s="77">
        <f t="shared" si="11"/>
        <v>15.104166666666666</v>
      </c>
      <c r="CF33" s="74" t="s">
        <v>210</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131</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211</v>
      </c>
      <c r="BV34" s="77">
        <f t="shared" si="2"/>
        <v>1080.2738292491497</v>
      </c>
      <c r="BW34" s="77">
        <f t="shared" si="10"/>
        <v>11.667826490373463</v>
      </c>
      <c r="BX34" s="77">
        <f t="shared" si="3"/>
        <v>21.645701021147325</v>
      </c>
      <c r="BY34" s="88">
        <v>8.0386769999999999</v>
      </c>
      <c r="BZ34" s="88">
        <v>5.6829520000000002</v>
      </c>
      <c r="CA34"/>
      <c r="CB34"/>
      <c r="CC34"/>
      <c r="CD34"/>
      <c r="CE34" s="77">
        <f t="shared" si="11"/>
        <v>6.6651184393869025</v>
      </c>
      <c r="CF34" s="74" t="s">
        <v>211</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132</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212</v>
      </c>
      <c r="BV35" s="77">
        <f t="shared" si="2"/>
        <v>2912.3825453829882</v>
      </c>
      <c r="BW35" s="77">
        <f t="shared" si="10"/>
        <v>15.217391304347828</v>
      </c>
      <c r="BX35" s="77">
        <f t="shared" si="3"/>
        <v>58.302136287311995</v>
      </c>
      <c r="BY35" s="88">
        <v>6.4224620000000003</v>
      </c>
      <c r="BZ35" s="88">
        <v>4.2147480000000002</v>
      </c>
      <c r="CA35"/>
      <c r="CB35"/>
      <c r="CC35"/>
      <c r="CD35"/>
      <c r="CE35" s="77">
        <f t="shared" si="11"/>
        <v>13.06005719733079</v>
      </c>
      <c r="CF35" s="74" t="s">
        <v>212</v>
      </c>
      <c r="CG35" s="74">
        <v>15.8</v>
      </c>
      <c r="CH35" s="74">
        <v>0.6</v>
      </c>
      <c r="CI35" s="74">
        <v>12.299999999999997</v>
      </c>
      <c r="CJ35" s="74" t="s">
        <v>101</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133</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213</v>
      </c>
      <c r="BV36" s="77">
        <f t="shared" si="2"/>
        <v>1440.7078105277319</v>
      </c>
      <c r="BW36" s="77">
        <f t="shared" si="10"/>
        <v>16.088328075709779</v>
      </c>
      <c r="BX36" s="77">
        <f t="shared" si="3"/>
        <v>35.877392902463789</v>
      </c>
      <c r="BY36" s="88">
        <v>8.0794049999999995</v>
      </c>
      <c r="BZ36" s="88">
        <v>5.2169239999999997</v>
      </c>
      <c r="CA36"/>
      <c r="CB36"/>
      <c r="CC36"/>
      <c r="CD36"/>
      <c r="CE36" s="77">
        <f t="shared" si="11"/>
        <v>10.299131553554197</v>
      </c>
      <c r="CF36" s="74" t="s">
        <v>213</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134</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214</v>
      </c>
      <c r="BV37" s="77">
        <f t="shared" si="2"/>
        <v>1160.45269144597</v>
      </c>
      <c r="BW37" s="77">
        <f t="shared" si="10"/>
        <v>8.662900188323917</v>
      </c>
      <c r="BX37" s="77">
        <f t="shared" si="3"/>
        <v>44.319039832646631</v>
      </c>
      <c r="BY37" s="88">
        <v>5.2506919999999999</v>
      </c>
      <c r="BZ37" s="88">
        <v>5.8064629999999999</v>
      </c>
      <c r="CA37"/>
      <c r="CB37"/>
      <c r="CC37"/>
      <c r="CD37"/>
      <c r="CE37" s="77">
        <f t="shared" si="11"/>
        <v>12.244897959183673</v>
      </c>
      <c r="CF37" s="74" t="s">
        <v>214</v>
      </c>
      <c r="CG37" s="74">
        <v>16.600000000000001</v>
      </c>
      <c r="CH37" s="74">
        <v>0.8</v>
      </c>
      <c r="CI37" s="74">
        <v>10</v>
      </c>
      <c r="CJ37" s="74" t="s">
        <v>101</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135</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204</v>
      </c>
      <c r="BV38" s="77">
        <f t="shared" si="2"/>
        <v>1156.2898666733372</v>
      </c>
      <c r="BW38" s="77">
        <f t="shared" si="10"/>
        <v>8.1752371442835745</v>
      </c>
      <c r="BX38" s="77">
        <f t="shared" si="3"/>
        <v>8.0734652807306819</v>
      </c>
      <c r="BY38" s="88">
        <v>3.7833839999999999</v>
      </c>
      <c r="BZ38" s="88">
        <v>3.5409869999999999</v>
      </c>
      <c r="CA38"/>
      <c r="CB38"/>
      <c r="CC38"/>
      <c r="CD38"/>
      <c r="CE38" s="77">
        <f t="shared" si="11"/>
        <v>4.3115264797507793</v>
      </c>
      <c r="CF38" s="74" t="s">
        <v>204</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136</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215</v>
      </c>
      <c r="BV39" s="77">
        <f t="shared" si="2"/>
        <v>1235.8535544904771</v>
      </c>
      <c r="BW39" s="77">
        <f t="shared" si="10"/>
        <v>9.3364776503376579</v>
      </c>
      <c r="BX39" s="77">
        <f t="shared" si="3"/>
        <v>14.164941395216404</v>
      </c>
      <c r="BY39" s="88">
        <v>8.9359319999999993</v>
      </c>
      <c r="BZ39" s="88">
        <v>5.6134519999999997</v>
      </c>
      <c r="CA39"/>
      <c r="CB39"/>
      <c r="CC39"/>
      <c r="CD39"/>
      <c r="CE39" s="77">
        <f t="shared" si="11"/>
        <v>6.7595072308516331</v>
      </c>
      <c r="CF39" s="74" t="s">
        <v>215</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137</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216</v>
      </c>
      <c r="BV40" s="77">
        <f t="shared" si="2"/>
        <v>3311.5996185861918</v>
      </c>
      <c r="BW40" s="77">
        <f t="shared" si="10"/>
        <v>19.846743295019156</v>
      </c>
      <c r="BX40" s="77">
        <f t="shared" si="3"/>
        <v>55.314231253911181</v>
      </c>
      <c r="BY40" s="88">
        <v>11.63945</v>
      </c>
      <c r="BZ40" s="88">
        <v>11.33325</v>
      </c>
      <c r="CA40"/>
      <c r="CB40"/>
      <c r="CC40"/>
      <c r="CD40"/>
      <c r="CE40" s="77">
        <f t="shared" si="11"/>
        <v>18.592195868400918</v>
      </c>
      <c r="CF40" s="74" t="s">
        <v>216</v>
      </c>
      <c r="CG40" s="74">
        <v>14.5</v>
      </c>
      <c r="CH40" s="74">
        <v>0.9</v>
      </c>
      <c r="CI40" s="74">
        <v>5.4000000000000057</v>
      </c>
      <c r="CJ40" s="74" t="s">
        <v>101</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138</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217</v>
      </c>
      <c r="BV41" s="77">
        <f t="shared" si="2"/>
        <v>1552.5941260188899</v>
      </c>
      <c r="BW41" s="77">
        <f t="shared" si="10"/>
        <v>20.689655172413794</v>
      </c>
      <c r="BX41" s="77">
        <f t="shared" si="3"/>
        <v>38.751638276541193</v>
      </c>
      <c r="BY41" s="88">
        <v>5.4964230000000001</v>
      </c>
      <c r="BZ41" s="88">
        <v>8.3681370000000008</v>
      </c>
      <c r="CA41"/>
      <c r="CB41"/>
      <c r="CC41"/>
      <c r="CD41"/>
      <c r="CE41" s="77">
        <f t="shared" si="11"/>
        <v>15.879828326180256</v>
      </c>
      <c r="CF41" s="74" t="s">
        <v>217</v>
      </c>
      <c r="CG41" s="74">
        <v>10.8</v>
      </c>
      <c r="CH41" s="74">
        <v>0.6</v>
      </c>
      <c r="CI41" s="74">
        <v>8.4000000000000057</v>
      </c>
      <c r="CJ41" s="74" t="s">
        <v>101</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139</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218</v>
      </c>
      <c r="BV42" s="77">
        <f t="shared" si="2"/>
        <v>901.55758459295635</v>
      </c>
      <c r="BW42" s="77">
        <f t="shared" si="10"/>
        <v>9.1135458167330672</v>
      </c>
      <c r="BX42" s="77">
        <f t="shared" si="3"/>
        <v>27.593719114907401</v>
      </c>
      <c r="BY42" s="88">
        <v>7.2310530000000002</v>
      </c>
      <c r="BZ42" s="88"/>
      <c r="CA42"/>
      <c r="CB42"/>
      <c r="CC42"/>
      <c r="CD42"/>
      <c r="CE42" s="77">
        <f t="shared" si="11"/>
        <v>9.6661684105630297</v>
      </c>
      <c r="CF42" s="74" t="s">
        <v>218</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140</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219</v>
      </c>
      <c r="BV43" s="77">
        <f t="shared" si="2"/>
        <v>792.89088650265489</v>
      </c>
      <c r="BW43" s="77">
        <f t="shared" si="10"/>
        <v>6.7283431455004203</v>
      </c>
      <c r="BX43" s="77">
        <f t="shared" si="3"/>
        <v>4.4311124739122345</v>
      </c>
      <c r="BY43" s="88">
        <v>6.1063609999999997</v>
      </c>
      <c r="BZ43" s="88">
        <v>3.712933</v>
      </c>
      <c r="CA43"/>
      <c r="CB43"/>
      <c r="CC43"/>
      <c r="CD43"/>
      <c r="CE43" s="77">
        <f t="shared" si="11"/>
        <v>2.6898290837769681</v>
      </c>
      <c r="CF43" s="74" t="s">
        <v>219</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141</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219</v>
      </c>
      <c r="BV44" s="77">
        <f t="shared" si="2"/>
        <v>814.11126187245588</v>
      </c>
      <c r="BW44" s="77">
        <f t="shared" si="10"/>
        <v>8.9552238805970141</v>
      </c>
      <c r="BX44" s="77">
        <f t="shared" si="3"/>
        <v>30.741673185844061</v>
      </c>
      <c r="BY44" s="88">
        <v>8.7701910000000005</v>
      </c>
      <c r="BZ44" s="88">
        <v>5.0828730000000002</v>
      </c>
      <c r="CA44"/>
      <c r="CB44"/>
      <c r="CC44"/>
      <c r="CD44"/>
      <c r="CE44" s="77">
        <f t="shared" si="11"/>
        <v>15.162454873646208</v>
      </c>
      <c r="CF44" s="74" t="s">
        <v>219</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142</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220</v>
      </c>
      <c r="BV45" s="77">
        <f t="shared" si="2"/>
        <v>1392.560044854851</v>
      </c>
      <c r="BW45" s="77">
        <f t="shared" si="10"/>
        <v>10.013453776667307</v>
      </c>
      <c r="BX45" s="77">
        <f t="shared" si="3"/>
        <v>10.464668347476673</v>
      </c>
      <c r="BY45" s="88">
        <v>3.16717</v>
      </c>
      <c r="BZ45" s="88">
        <v>7.9768879999999998</v>
      </c>
      <c r="CA45"/>
      <c r="CB45"/>
      <c r="CC45"/>
      <c r="CD45"/>
      <c r="CE45" s="77">
        <f t="shared" si="11"/>
        <v>4.6662841843564733</v>
      </c>
      <c r="CF45" s="74" t="s">
        <v>220</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143</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221</v>
      </c>
      <c r="BV46" s="77">
        <f t="shared" si="2"/>
        <v>1163.9067836914694</v>
      </c>
      <c r="BW46" s="77">
        <f t="shared" si="10"/>
        <v>9.5892600287677805</v>
      </c>
      <c r="BX46" s="77">
        <f t="shared" si="3"/>
        <v>15.256198146560637</v>
      </c>
      <c r="BY46" s="88">
        <v>6.0456810000000001</v>
      </c>
      <c r="BZ46" s="88">
        <v>4.0732169999999996</v>
      </c>
      <c r="CA46"/>
      <c r="CB46"/>
      <c r="CC46"/>
      <c r="CD46"/>
      <c r="CE46" s="77">
        <f t="shared" si="11"/>
        <v>7.9808459696727851</v>
      </c>
      <c r="CF46" s="74" t="s">
        <v>221</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144</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209</v>
      </c>
      <c r="BV47" s="77">
        <f t="shared" si="2"/>
        <v>1325.2989431397946</v>
      </c>
      <c r="BW47" s="77">
        <f t="shared" si="10"/>
        <v>5.4805061559507529</v>
      </c>
      <c r="BX47" s="77">
        <f t="shared" si="3"/>
        <v>2.1987807145123597</v>
      </c>
      <c r="BY47" s="88">
        <v>3.7831929999999998</v>
      </c>
      <c r="BZ47" s="88">
        <v>5.2457399999999996</v>
      </c>
      <c r="CA47"/>
      <c r="CB47"/>
      <c r="CC47"/>
      <c r="CD47"/>
      <c r="CE47" s="77">
        <f t="shared" si="11"/>
        <v>2.5409590623262179</v>
      </c>
      <c r="CF47" s="74" t="s">
        <v>209</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145</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191</v>
      </c>
      <c r="BV48" s="77">
        <f t="shared" si="2"/>
        <v>1458.0146734762657</v>
      </c>
      <c r="BW48" s="77">
        <f t="shared" si="10"/>
        <v>14.518664047151278</v>
      </c>
      <c r="BX48" s="77">
        <f t="shared" si="3"/>
        <v>40.381240329599869</v>
      </c>
      <c r="BY48" s="88">
        <v>10.80884</v>
      </c>
      <c r="BZ48" s="88">
        <v>7.0520500000000004</v>
      </c>
      <c r="CA48"/>
      <c r="CB48"/>
      <c r="CC48"/>
      <c r="CD48"/>
      <c r="CE48" s="77">
        <f t="shared" si="11"/>
        <v>12.139561707035755</v>
      </c>
      <c r="CF48" s="74" t="s">
        <v>191</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146</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222</v>
      </c>
      <c r="BV49" s="77">
        <f t="shared" si="2"/>
        <v>3395.9689271467564</v>
      </c>
      <c r="BW49" s="77">
        <f t="shared" si="10"/>
        <v>18.417415342087075</v>
      </c>
      <c r="BX49" s="77">
        <f t="shared" si="3"/>
        <v>59.467793228349848</v>
      </c>
      <c r="BY49" s="88">
        <v>8.4094320000000007</v>
      </c>
      <c r="BZ49" s="88">
        <v>6.7385120000000001</v>
      </c>
      <c r="CA49"/>
      <c r="CB49"/>
      <c r="CC49"/>
      <c r="CD49"/>
      <c r="CE49" s="77">
        <f t="shared" si="11"/>
        <v>18.256410256410259</v>
      </c>
      <c r="CF49" s="74" t="s">
        <v>222</v>
      </c>
      <c r="CG49" s="74">
        <v>14.5</v>
      </c>
      <c r="CH49" s="74">
        <v>1</v>
      </c>
      <c r="CI49" s="74">
        <v>3.2000000000000028</v>
      </c>
      <c r="CJ49" s="74" t="s">
        <v>101</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147</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223</v>
      </c>
      <c r="BV50" s="77">
        <f t="shared" si="2"/>
        <v>2117.5512420252476</v>
      </c>
      <c r="BW50" s="77">
        <f t="shared" si="10"/>
        <v>14.184923876717415</v>
      </c>
      <c r="BX50" s="77">
        <f t="shared" si="3"/>
        <v>35.691930725945895</v>
      </c>
      <c r="BY50" s="88">
        <v>9.9505999999999997</v>
      </c>
      <c r="BZ50" s="88">
        <v>5.8927529999999999</v>
      </c>
      <c r="CA50"/>
      <c r="CB50"/>
      <c r="CC50"/>
      <c r="CD50"/>
      <c r="CE50" s="77">
        <f t="shared" si="11"/>
        <v>13.812154696132598</v>
      </c>
      <c r="CF50" s="74" t="s">
        <v>223</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148</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224</v>
      </c>
      <c r="BV51" s="77">
        <f t="shared" si="2"/>
        <v>2043.2220039292729</v>
      </c>
      <c r="BW51" s="77">
        <f t="shared" si="10"/>
        <v>14.475873544093179</v>
      </c>
      <c r="BX51" s="77">
        <f t="shared" si="3"/>
        <v>68.759395515909134</v>
      </c>
      <c r="BY51" s="88">
        <v>10.128</v>
      </c>
      <c r="BZ51" s="88">
        <v>9.345402</v>
      </c>
      <c r="CA51"/>
      <c r="CB51"/>
      <c r="CC51"/>
      <c r="CD51"/>
      <c r="CE51" s="77">
        <f t="shared" si="11"/>
        <v>17.904290429042906</v>
      </c>
      <c r="CF51" s="74" t="s">
        <v>224</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149</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225</v>
      </c>
      <c r="BV52" s="77">
        <f t="shared" si="2"/>
        <v>948.60482673966521</v>
      </c>
      <c r="BW52" s="77">
        <f t="shared" si="10"/>
        <v>6.0964453737584945</v>
      </c>
      <c r="BX52" s="77">
        <f t="shared" si="3"/>
        <v>5.1858470608625256</v>
      </c>
      <c r="BY52" s="88">
        <v>7.1214040000000001</v>
      </c>
      <c r="BZ52" s="88">
        <v>5.263979</v>
      </c>
      <c r="CA52"/>
      <c r="CB52"/>
      <c r="CC52"/>
      <c r="CD52"/>
      <c r="CE52" s="77">
        <f t="shared" si="11"/>
        <v>2.7313120752744382</v>
      </c>
      <c r="CF52" s="74" t="s">
        <v>225</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150</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210</v>
      </c>
      <c r="BV53" s="77">
        <f t="shared" si="2"/>
        <v>1027.9682175649189</v>
      </c>
      <c r="BW53" s="77">
        <f t="shared" si="10"/>
        <v>7.4737409103151089</v>
      </c>
      <c r="BX53" s="77">
        <f t="shared" si="3"/>
        <v>8.8912448915218274</v>
      </c>
      <c r="BY53" s="88"/>
      <c r="BZ53" s="88">
        <v>6.7213450000000003</v>
      </c>
      <c r="CA53"/>
      <c r="CB53"/>
      <c r="CC53"/>
      <c r="CD53"/>
      <c r="CE53" s="77">
        <f t="shared" si="11"/>
        <v>3.7962712780329646</v>
      </c>
      <c r="CF53" s="74" t="s">
        <v>210</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151</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226</v>
      </c>
      <c r="BV54" s="77">
        <f t="shared" si="2"/>
        <v>1413.5744725080554</v>
      </c>
      <c r="BW54" s="77">
        <f t="shared" si="10"/>
        <v>12.068019747668677</v>
      </c>
      <c r="BX54" s="77">
        <f t="shared" si="3"/>
        <v>40.940389500127573</v>
      </c>
      <c r="BY54" s="88">
        <v>8.9097449999999991</v>
      </c>
      <c r="BZ54" s="88">
        <v>5.667497</v>
      </c>
      <c r="CA54"/>
      <c r="CB54"/>
      <c r="CC54"/>
      <c r="CD54"/>
      <c r="CE54" s="77">
        <f t="shared" si="11"/>
        <v>12.933406714364338</v>
      </c>
      <c r="CF54" s="74" t="s">
        <v>226</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152</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204</v>
      </c>
      <c r="BV55" s="77">
        <f t="shared" si="2"/>
        <v>1138.668897777676</v>
      </c>
      <c r="BW55" s="77">
        <f t="shared" si="10"/>
        <v>9.27219183845183</v>
      </c>
      <c r="BX55" s="77">
        <f t="shared" si="3"/>
        <v>12.586213920821384</v>
      </c>
      <c r="BY55" s="88">
        <v>7.250121</v>
      </c>
      <c r="BZ55" s="88">
        <v>5.180663</v>
      </c>
      <c r="CA55"/>
      <c r="CB55"/>
      <c r="CC55"/>
      <c r="CD55"/>
      <c r="CE55" s="77">
        <f t="shared" si="11"/>
        <v>3.908219868885527</v>
      </c>
      <c r="CF55" s="74" t="s">
        <v>204</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153</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227</v>
      </c>
      <c r="BV56" s="77">
        <f t="shared" si="2"/>
        <v>1149.7641509433961</v>
      </c>
      <c r="BW56" s="77">
        <f t="shared" si="10"/>
        <v>10.677589558455985</v>
      </c>
      <c r="BX56" s="77">
        <f t="shared" si="3"/>
        <v>17.862057362000737</v>
      </c>
      <c r="BY56" s="88">
        <v>6.6103129999999997</v>
      </c>
      <c r="BZ56" s="88">
        <v>6.8680260000000004</v>
      </c>
      <c r="CA56"/>
      <c r="CB56"/>
      <c r="CC56"/>
      <c r="CD56"/>
      <c r="CE56" s="77">
        <f t="shared" si="11"/>
        <v>9.4935835518145435</v>
      </c>
      <c r="CF56" s="74" t="s">
        <v>227</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154</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228</v>
      </c>
      <c r="BV57" s="77">
        <f t="shared" si="2"/>
        <v>1143.3077074709245</v>
      </c>
      <c r="BW57" s="77">
        <f t="shared" si="10"/>
        <v>15.0093808630394</v>
      </c>
      <c r="BX57" s="77">
        <f t="shared" si="3"/>
        <v>28.467910057361824</v>
      </c>
      <c r="BY57" s="88">
        <v>4.4128090000000002</v>
      </c>
      <c r="BZ57" s="88">
        <v>8.2627980000000001</v>
      </c>
      <c r="CA57"/>
      <c r="CB57"/>
      <c r="CC57"/>
      <c r="CD57"/>
      <c r="CE57" s="77">
        <f t="shared" si="11"/>
        <v>17.574692442882249</v>
      </c>
      <c r="CF57" s="74" t="s">
        <v>228</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155</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229</v>
      </c>
      <c r="BV58" s="77">
        <f t="shared" si="2"/>
        <v>1002.4057738572574</v>
      </c>
      <c r="BW58" s="77">
        <f t="shared" si="10"/>
        <v>10.719754977029096</v>
      </c>
      <c r="BX58" s="77">
        <f t="shared" si="3"/>
        <v>29.598559292909176</v>
      </c>
      <c r="BY58" s="88">
        <v>13.160119999999999</v>
      </c>
      <c r="BZ58" s="88">
        <v>7.5162199999999997</v>
      </c>
      <c r="CA58"/>
      <c r="CB58"/>
      <c r="CC58"/>
      <c r="CD58"/>
      <c r="CE58" s="77">
        <f t="shared" si="11"/>
        <v>13.602391629297458</v>
      </c>
      <c r="CF58" s="74" t="s">
        <v>229</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156</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230</v>
      </c>
      <c r="BV59" s="77">
        <f t="shared" si="2"/>
        <v>1218.6379928315414</v>
      </c>
      <c r="BW59" s="77">
        <f t="shared" si="10"/>
        <v>15.572232645403378</v>
      </c>
      <c r="BX59" s="77">
        <f t="shared" si="3"/>
        <v>29.302771636367773</v>
      </c>
      <c r="BY59" s="88">
        <v>6.1382750000000001</v>
      </c>
      <c r="BZ59" s="88">
        <v>6.0110919999999997</v>
      </c>
      <c r="CA59"/>
      <c r="CB59"/>
      <c r="CC59"/>
      <c r="CD59"/>
      <c r="CE59" s="77">
        <f t="shared" si="11"/>
        <v>18.647166361974406</v>
      </c>
      <c r="CF59" s="74" t="s">
        <v>230</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157</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231</v>
      </c>
      <c r="BV60" s="77">
        <f t="shared" si="2"/>
        <v>664.76281135966997</v>
      </c>
      <c r="BW60" s="77">
        <f t="shared" si="10"/>
        <v>7.813754348407814</v>
      </c>
      <c r="BX60" s="77">
        <f t="shared" si="3"/>
        <v>3.593156670199336</v>
      </c>
      <c r="BY60" s="88">
        <v>6.7388310000000002</v>
      </c>
      <c r="BZ60" s="88">
        <v>4.0406040000000001</v>
      </c>
      <c r="CA60"/>
      <c r="CB60"/>
      <c r="CC60"/>
      <c r="CD60"/>
      <c r="CE60" s="77">
        <f t="shared" si="11"/>
        <v>6.1899679829242267</v>
      </c>
      <c r="CF60" s="74" t="s">
        <v>231</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158</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213</v>
      </c>
      <c r="BV61" s="77">
        <f t="shared" si="2"/>
        <v>2503.3715441672289</v>
      </c>
      <c r="BW61" s="77">
        <f t="shared" si="10"/>
        <v>14.611005692599621</v>
      </c>
      <c r="BX61" s="77">
        <f t="shared" si="3"/>
        <v>71.044031102815282</v>
      </c>
      <c r="BY61" s="88">
        <v>8.7032310000000006</v>
      </c>
      <c r="BZ61" s="88">
        <v>5.0148539999999997</v>
      </c>
      <c r="CA61"/>
      <c r="CB61"/>
      <c r="CC61"/>
      <c r="CD61"/>
      <c r="CE61" s="77">
        <f t="shared" si="11"/>
        <v>15.708812260536398</v>
      </c>
      <c r="CF61" s="74" t="s">
        <v>213</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159</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229</v>
      </c>
      <c r="BV62" s="77">
        <f t="shared" si="2"/>
        <v>1387.7653222389151</v>
      </c>
      <c r="BW62" s="77">
        <f t="shared" si="10"/>
        <v>7.6997485006771127</v>
      </c>
      <c r="BX62" s="77">
        <f t="shared" si="3"/>
        <v>7.4670987470081185</v>
      </c>
      <c r="BY62" s="88">
        <v>4.8003939999999998</v>
      </c>
      <c r="BZ62" s="88">
        <v>7.703284</v>
      </c>
      <c r="CA62"/>
      <c r="CB62"/>
      <c r="CC62"/>
      <c r="CD62"/>
      <c r="CE62" s="77">
        <f t="shared" si="11"/>
        <v>3.5478867778208607</v>
      </c>
      <c r="CF62" s="74" t="s">
        <v>229</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160</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195</v>
      </c>
      <c r="BV63" s="77">
        <f t="shared" si="2"/>
        <v>1281.8835840418574</v>
      </c>
      <c r="BW63" s="77">
        <f t="shared" si="10"/>
        <v>16.030534351145036</v>
      </c>
      <c r="BX63" s="77">
        <f t="shared" si="3"/>
        <v>63.599894782687961</v>
      </c>
      <c r="BY63" s="88">
        <v>7.6102499999999997</v>
      </c>
      <c r="BZ63" s="88">
        <v>1.393726</v>
      </c>
      <c r="CA63"/>
      <c r="CB63"/>
      <c r="CC63"/>
      <c r="CD63"/>
      <c r="CE63" s="77">
        <f t="shared" si="11"/>
        <v>22.992700729927009</v>
      </c>
      <c r="CF63" s="74" t="s">
        <v>195</v>
      </c>
      <c r="CG63" s="74">
        <v>10.8</v>
      </c>
      <c r="CH63" s="74">
        <v>0.6</v>
      </c>
      <c r="CI63" s="74">
        <v>3.2999999999999972</v>
      </c>
      <c r="CJ63" s="74" t="s">
        <v>101</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161</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232</v>
      </c>
      <c r="BV64" s="77">
        <f t="shared" si="2"/>
        <v>311.91515907673113</v>
      </c>
      <c r="BW64" s="77">
        <f t="shared" si="10"/>
        <v>12.790697674418606</v>
      </c>
      <c r="BX64" s="77">
        <f t="shared" si="3"/>
        <v>0</v>
      </c>
      <c r="BY64" s="88">
        <v>3.0634190000000001</v>
      </c>
      <c r="BZ64" s="88"/>
      <c r="CA64"/>
      <c r="CB64"/>
      <c r="CC64"/>
      <c r="CD64"/>
      <c r="CE64" s="77">
        <f t="shared" si="11"/>
        <v>3.5294117647058822</v>
      </c>
      <c r="CF64" s="74" t="s">
        <v>232</v>
      </c>
      <c r="CG64" s="74">
        <v>20.7</v>
      </c>
      <c r="CH64" s="74">
        <v>1</v>
      </c>
      <c r="CI64" s="74">
        <v>18.099999999999994</v>
      </c>
      <c r="CJ64" s="74" t="s">
        <v>101</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162</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233</v>
      </c>
      <c r="BV65" s="77">
        <f t="shared" si="2"/>
        <v>1675.3585397653194</v>
      </c>
      <c r="BW65" s="77">
        <f t="shared" si="10"/>
        <v>11.486486486486488</v>
      </c>
      <c r="BX65" s="77">
        <f t="shared" si="3"/>
        <v>54.040844928747305</v>
      </c>
      <c r="BY65" s="88">
        <v>5.9819279999999999</v>
      </c>
      <c r="BZ65" s="88"/>
      <c r="CA65"/>
      <c r="CB65"/>
      <c r="CC65"/>
      <c r="CD65"/>
      <c r="CE65" s="77">
        <f t="shared" si="11"/>
        <v>16.429249762583094</v>
      </c>
      <c r="CF65" s="74" t="s">
        <v>233</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163</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234</v>
      </c>
      <c r="BV66" s="77">
        <f t="shared" si="2"/>
        <v>1734.4570660803713</v>
      </c>
      <c r="BW66" s="77">
        <f t="shared" si="10"/>
        <v>16.272600834492351</v>
      </c>
      <c r="BX66" s="77">
        <f t="shared" si="3"/>
        <v>59.104452461218244</v>
      </c>
      <c r="BY66" s="88">
        <v>10.0159</v>
      </c>
      <c r="BZ66" s="88">
        <v>4.8130620000000004</v>
      </c>
      <c r="CA66"/>
      <c r="CB66"/>
      <c r="CC66"/>
      <c r="CD66"/>
      <c r="CE66" s="77">
        <f t="shared" si="11"/>
        <v>17.299578059071731</v>
      </c>
      <c r="CF66" s="74" t="s">
        <v>234</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164</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235</v>
      </c>
      <c r="BV67" s="77">
        <f t="shared" si="2"/>
        <v>910.54463361866237</v>
      </c>
      <c r="BW67" s="77">
        <f t="shared" si="10"/>
        <v>4.5005769970509046</v>
      </c>
      <c r="BX67" s="77">
        <f t="shared" si="3"/>
        <v>1.9820397306795943</v>
      </c>
      <c r="BY67" s="88">
        <v>4.2111109999999998</v>
      </c>
      <c r="BZ67" s="88"/>
      <c r="CA67"/>
      <c r="CB67"/>
      <c r="CC67"/>
      <c r="CD67"/>
      <c r="CE67" s="77">
        <f t="shared" si="11"/>
        <v>1.8836494105586878</v>
      </c>
      <c r="CF67" s="74" t="s">
        <v>235</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165</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236</v>
      </c>
      <c r="BV68" s="77">
        <f t="shared" ref="BV68:BV84" si="15">AF68</f>
        <v>1261.0888850234824</v>
      </c>
      <c r="BW68" s="77">
        <f t="shared" si="10"/>
        <v>15.193370165745856</v>
      </c>
      <c r="BX68" s="77">
        <f t="shared" ref="BX68:BX84" si="16">AB68</f>
        <v>38.20493335226017</v>
      </c>
      <c r="BY68" s="88">
        <v>9.1745739999999998</v>
      </c>
      <c r="BZ68" s="88">
        <v>7.5314610000000002</v>
      </c>
      <c r="CA68"/>
      <c r="CB68"/>
      <c r="CC68"/>
      <c r="CD68"/>
      <c r="CE68" s="77">
        <f t="shared" si="11"/>
        <v>13.407821229050279</v>
      </c>
      <c r="CF68" s="74" t="s">
        <v>236</v>
      </c>
      <c r="CG68" s="74">
        <v>13.2</v>
      </c>
      <c r="CH68" s="74">
        <v>0.5</v>
      </c>
      <c r="CI68" s="74">
        <v>6.2999999999999972</v>
      </c>
      <c r="CJ68" s="74" t="s">
        <v>101</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166</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237</v>
      </c>
      <c r="BV69" s="77">
        <f t="shared" si="15"/>
        <v>701.89070189070185</v>
      </c>
      <c r="BW69" s="77">
        <f t="shared" ref="BW69:BW84" si="22">P69</f>
        <v>7.4697173620457606</v>
      </c>
      <c r="BX69" s="77">
        <f t="shared" si="16"/>
        <v>10.881491566895884</v>
      </c>
      <c r="BY69" s="88">
        <v>3.7154039999999999</v>
      </c>
      <c r="BZ69" s="88"/>
      <c r="CA69"/>
      <c r="CB69"/>
      <c r="CC69"/>
      <c r="CD69"/>
      <c r="CE69" s="77">
        <f t="shared" ref="CE69:CE84" si="23">Q69</f>
        <v>5.7640750670241285</v>
      </c>
      <c r="CF69" s="74" t="s">
        <v>237</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167</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238</v>
      </c>
      <c r="BV70" s="77">
        <f t="shared" si="15"/>
        <v>2730.2305842410524</v>
      </c>
      <c r="BW70" s="77">
        <f t="shared" si="22"/>
        <v>14.111006585136407</v>
      </c>
      <c r="BX70" s="77">
        <f t="shared" si="16"/>
        <v>52.018273013481874</v>
      </c>
      <c r="BY70" s="88">
        <v>10.45125</v>
      </c>
      <c r="BZ70" s="88">
        <v>7.9467059999999998</v>
      </c>
      <c r="CA70"/>
      <c r="CB70"/>
      <c r="CC70"/>
      <c r="CD70"/>
      <c r="CE70" s="77">
        <f t="shared" si="23"/>
        <v>13.938260056127222</v>
      </c>
      <c r="CF70" s="74" t="s">
        <v>238</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168</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239</v>
      </c>
      <c r="BV71" s="77">
        <f t="shared" si="15"/>
        <v>1406.1742363019232</v>
      </c>
      <c r="BW71" s="77">
        <f t="shared" si="22"/>
        <v>9.6045197740112993</v>
      </c>
      <c r="BX71" s="77">
        <f t="shared" si="16"/>
        <v>59.591840427266284</v>
      </c>
      <c r="BY71" s="88">
        <v>4.7828020000000002</v>
      </c>
      <c r="BZ71" s="88">
        <v>2.7371270000000001</v>
      </c>
      <c r="CA71"/>
      <c r="CB71"/>
      <c r="CC71"/>
      <c r="CD71"/>
      <c r="CE71" s="77">
        <f t="shared" si="23"/>
        <v>15.555555555555555</v>
      </c>
      <c r="CF71" s="74" t="s">
        <v>239</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169</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239</v>
      </c>
      <c r="BV72" s="77">
        <f t="shared" si="15"/>
        <v>2111.6391138478011</v>
      </c>
      <c r="BW72" s="77">
        <f t="shared" si="22"/>
        <v>14.011676396997498</v>
      </c>
      <c r="BX72" s="77">
        <f t="shared" si="16"/>
        <v>46.943319320132382</v>
      </c>
      <c r="BY72" s="88">
        <v>4.4248479999999999</v>
      </c>
      <c r="BZ72" s="88">
        <v>6.3349019999999996</v>
      </c>
      <c r="CA72"/>
      <c r="CB72"/>
      <c r="CC72"/>
      <c r="CD72"/>
      <c r="CE72" s="77">
        <f t="shared" si="23"/>
        <v>16.680497925311201</v>
      </c>
      <c r="CF72" s="74" t="s">
        <v>239</v>
      </c>
      <c r="CG72" s="74">
        <v>7.1</v>
      </c>
      <c r="CH72" s="74">
        <v>0.7</v>
      </c>
      <c r="CI72" s="74">
        <v>7.7000000000000028</v>
      </c>
      <c r="CJ72" s="74" t="s">
        <v>101</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170</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240</v>
      </c>
      <c r="BV73" s="77">
        <f t="shared" si="15"/>
        <v>2057.9954954954956</v>
      </c>
      <c r="BW73" s="77">
        <f t="shared" si="22"/>
        <v>11.111111111111111</v>
      </c>
      <c r="BX73" s="77">
        <f t="shared" si="16"/>
        <v>31.332229140013144</v>
      </c>
      <c r="BY73" s="88">
        <v>4.0527769999999999</v>
      </c>
      <c r="BZ73" s="88">
        <v>6.5802370000000003</v>
      </c>
      <c r="CA73"/>
      <c r="CB73"/>
      <c r="CC73"/>
      <c r="CD73"/>
      <c r="CE73" s="77">
        <f t="shared" si="23"/>
        <v>12.080924855491329</v>
      </c>
      <c r="CF73" s="74" t="s">
        <v>240</v>
      </c>
      <c r="CG73" s="74">
        <v>12.3</v>
      </c>
      <c r="CH73" s="74">
        <v>1.1000000000000001</v>
      </c>
      <c r="CI73" s="74">
        <v>7.5</v>
      </c>
      <c r="CJ73" s="74" t="s">
        <v>101</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171</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241</v>
      </c>
      <c r="BV74" s="77">
        <f t="shared" si="15"/>
        <v>2961.4897058180704</v>
      </c>
      <c r="BW74" s="77">
        <f t="shared" si="22"/>
        <v>16.342213114754099</v>
      </c>
      <c r="BX74" s="77">
        <f t="shared" si="16"/>
        <v>62.663100129195392</v>
      </c>
      <c r="BY74" s="88">
        <v>9.4961380000000002</v>
      </c>
      <c r="BZ74" s="88">
        <v>8.7251089999999998</v>
      </c>
      <c r="CA74"/>
      <c r="CB74"/>
      <c r="CC74"/>
      <c r="CD74"/>
      <c r="CE74" s="77">
        <f t="shared" si="23"/>
        <v>17.803410230692077</v>
      </c>
      <c r="CF74" s="74" t="s">
        <v>241</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172</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242</v>
      </c>
      <c r="BV75" s="77">
        <f t="shared" si="15"/>
        <v>1066.5312341289994</v>
      </c>
      <c r="BW75" s="77">
        <f t="shared" si="22"/>
        <v>15.079365079365079</v>
      </c>
      <c r="BX75" s="77">
        <f t="shared" si="16"/>
        <v>87.197445626463292</v>
      </c>
      <c r="BY75" s="88">
        <v>8.5216519999999996</v>
      </c>
      <c r="BZ75" s="88"/>
      <c r="CA75"/>
      <c r="CB75"/>
      <c r="CC75"/>
      <c r="CD75"/>
      <c r="CE75" s="77">
        <f t="shared" si="23"/>
        <v>13.740458015267176</v>
      </c>
      <c r="CF75" s="74" t="s">
        <v>242</v>
      </c>
      <c r="CG75" s="74">
        <v>18.8</v>
      </c>
      <c r="CH75" s="74">
        <v>0.8</v>
      </c>
      <c r="CI75" s="74">
        <v>7.9000000000000057</v>
      </c>
      <c r="CJ75" s="74" t="s">
        <v>101</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173</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243</v>
      </c>
      <c r="BV76" s="77">
        <f t="shared" si="15"/>
        <v>853.08386917059363</v>
      </c>
      <c r="BW76" s="77">
        <f t="shared" si="22"/>
        <v>6.93880930694709</v>
      </c>
      <c r="BX76" s="77">
        <f t="shared" si="16"/>
        <v>6.4826004795077168</v>
      </c>
      <c r="BY76" s="88">
        <v>2.872458</v>
      </c>
      <c r="BZ76" s="88">
        <v>3.0581070000000001</v>
      </c>
      <c r="CA76"/>
      <c r="CB76"/>
      <c r="CC76"/>
      <c r="CD76"/>
      <c r="CE76" s="77">
        <f t="shared" si="23"/>
        <v>3.7875020719376762</v>
      </c>
      <c r="CF76" s="74" t="s">
        <v>243</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174</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214</v>
      </c>
      <c r="BV77" s="77">
        <f t="shared" si="15"/>
        <v>1113.7672957037389</v>
      </c>
      <c r="BW77" s="77">
        <f t="shared" si="22"/>
        <v>12.430494585894058</v>
      </c>
      <c r="BX77" s="77">
        <f t="shared" si="16"/>
        <v>23.163215724484939</v>
      </c>
      <c r="BY77" s="88">
        <v>8.0141670000000005</v>
      </c>
      <c r="BZ77" s="88">
        <v>10.01473</v>
      </c>
      <c r="CA77"/>
      <c r="CB77"/>
      <c r="CC77"/>
      <c r="CD77"/>
      <c r="CE77" s="77">
        <f t="shared" si="23"/>
        <v>7.6316366026436864</v>
      </c>
      <c r="CF77" s="74" t="s">
        <v>214</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175</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244</v>
      </c>
      <c r="BV78" s="77">
        <f t="shared" si="15"/>
        <v>2454.4517016156756</v>
      </c>
      <c r="BW78" s="77">
        <f t="shared" si="22"/>
        <v>12.432656444260257</v>
      </c>
      <c r="BX78" s="77">
        <f t="shared" si="16"/>
        <v>50.676000833977973</v>
      </c>
      <c r="BY78" s="88">
        <v>9.0937190000000001</v>
      </c>
      <c r="BZ78" s="88">
        <v>10.96768</v>
      </c>
      <c r="CA78"/>
      <c r="CB78"/>
      <c r="CC78"/>
      <c r="CD78"/>
      <c r="CE78" s="77">
        <f t="shared" si="23"/>
        <v>14.929693961952026</v>
      </c>
      <c r="CF78" s="74" t="s">
        <v>244</v>
      </c>
      <c r="CG78" s="74">
        <v>13.6</v>
      </c>
      <c r="CH78" s="74">
        <v>1</v>
      </c>
      <c r="CI78" s="74">
        <v>6.7000000000000028</v>
      </c>
      <c r="CJ78" s="74" t="s">
        <v>101</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176</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189</v>
      </c>
      <c r="BV79" s="77">
        <f t="shared" si="15"/>
        <v>1456.7935636682944</v>
      </c>
      <c r="BW79" s="77">
        <f t="shared" si="22"/>
        <v>13.545744744925617</v>
      </c>
      <c r="BX79" s="77">
        <f t="shared" si="16"/>
        <v>41.613015842062389</v>
      </c>
      <c r="BY79" s="88">
        <v>11.715579999999999</v>
      </c>
      <c r="BZ79" s="88">
        <v>4.9962150000000003</v>
      </c>
      <c r="CA79"/>
      <c r="CB79"/>
      <c r="CC79"/>
      <c r="CD79"/>
      <c r="CE79" s="77">
        <f t="shared" si="23"/>
        <v>9.3320587883857087</v>
      </c>
      <c r="CF79" s="74" t="s">
        <v>189</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177</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209</v>
      </c>
      <c r="BV80" s="77">
        <f t="shared" si="15"/>
        <v>1146.355761089038</v>
      </c>
      <c r="BW80" s="77">
        <f t="shared" si="22"/>
        <v>5.7999033349444176</v>
      </c>
      <c r="BX80" s="77">
        <f t="shared" si="16"/>
        <v>5.4023873498699846</v>
      </c>
      <c r="BY80" s="88">
        <v>2.4342519999999999</v>
      </c>
      <c r="BZ80" s="88">
        <v>5.3319460000000003</v>
      </c>
      <c r="CA80"/>
      <c r="CB80"/>
      <c r="CC80"/>
      <c r="CD80"/>
      <c r="CE80" s="77">
        <f t="shared" si="23"/>
        <v>2.5475653015156401</v>
      </c>
      <c r="CF80" s="74" t="s">
        <v>209</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178</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245</v>
      </c>
      <c r="BV81" s="77">
        <f t="shared" si="15"/>
        <v>1256.5225405017193</v>
      </c>
      <c r="BW81" s="77">
        <f t="shared" si="22"/>
        <v>10.918024928092041</v>
      </c>
      <c r="BX81" s="77">
        <f t="shared" si="16"/>
        <v>20.014159477393591</v>
      </c>
      <c r="BY81" s="88">
        <v>3.9881790000000001</v>
      </c>
      <c r="BZ81" s="88">
        <v>7.9971880000000004</v>
      </c>
      <c r="CA81"/>
      <c r="CB81"/>
      <c r="CC81"/>
      <c r="CD81"/>
      <c r="CE81" s="77">
        <f t="shared" si="23"/>
        <v>11.235955056179774</v>
      </c>
      <c r="CF81" s="74" t="s">
        <v>245</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179</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246</v>
      </c>
      <c r="BV82" s="77">
        <f t="shared" si="15"/>
        <v>1911.4219114219115</v>
      </c>
      <c r="BW82" s="77">
        <f t="shared" si="22"/>
        <v>25.106382978723403</v>
      </c>
      <c r="BX82" s="77">
        <f t="shared" si="16"/>
        <v>8.0699544720383809</v>
      </c>
      <c r="BY82" s="88">
        <v>13.970689999999999</v>
      </c>
      <c r="BZ82" s="88">
        <v>5.6600229999999998</v>
      </c>
      <c r="CA82"/>
      <c r="CB82"/>
      <c r="CC82"/>
      <c r="CD82"/>
      <c r="CE82" s="77">
        <f t="shared" si="23"/>
        <v>15.315315315315313</v>
      </c>
      <c r="CF82" s="74" t="s">
        <v>246</v>
      </c>
      <c r="CG82" s="74">
        <v>13.5</v>
      </c>
      <c r="CH82" s="74">
        <v>0.9</v>
      </c>
      <c r="CI82" s="74">
        <v>15.299999999999997</v>
      </c>
      <c r="CJ82" s="74" t="s">
        <v>101</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180</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247</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247</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181</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310</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248</v>
      </c>
      <c r="BV84" s="77">
        <f t="shared" si="15"/>
        <v>1403</v>
      </c>
      <c r="BW84" s="77">
        <f t="shared" si="22"/>
        <v>10.6</v>
      </c>
      <c r="BX84" s="77">
        <f t="shared" si="16"/>
        <v>23</v>
      </c>
      <c r="BY84" s="88">
        <v>6.7</v>
      </c>
      <c r="BZ84" s="88">
        <v>5.9</v>
      </c>
      <c r="CA84"/>
      <c r="CB84"/>
      <c r="CC84"/>
      <c r="CD84"/>
      <c r="CE84" s="77">
        <f t="shared" si="23"/>
        <v>7.8358536446851463</v>
      </c>
      <c r="CF84" s="74" t="s">
        <v>248</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90"/>
      <c r="C1" s="90"/>
    </row>
    <row r="2" spans="2:6" s="56" customFormat="1" ht="41.25" customHeight="1" x14ac:dyDescent="0.35">
      <c r="B2" s="91" t="s">
        <v>94</v>
      </c>
      <c r="C2" s="91"/>
      <c r="F2" s="57"/>
    </row>
    <row r="3" spans="2:6" s="56" customFormat="1" ht="15.75" customHeight="1" x14ac:dyDescent="0.25">
      <c r="B3" s="93" t="s">
        <v>92</v>
      </c>
      <c r="C3" s="93"/>
    </row>
    <row r="4" spans="2:6" s="56" customFormat="1" ht="16.5" customHeight="1" x14ac:dyDescent="0.25">
      <c r="B4" s="58" t="s">
        <v>84</v>
      </c>
      <c r="C4" s="58" t="s">
        <v>85</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86</v>
      </c>
    </row>
    <row r="11" spans="2:6" s="56" customFormat="1" ht="14.25" customHeight="1" x14ac:dyDescent="0.25">
      <c r="B11" s="59" t="s">
        <v>54</v>
      </c>
      <c r="C11" s="59" t="s">
        <v>66</v>
      </c>
    </row>
    <row r="12" spans="2:6" s="56" customFormat="1" ht="12.75" customHeight="1" x14ac:dyDescent="0.25">
      <c r="B12" s="59"/>
      <c r="C12" s="59" t="s">
        <v>67</v>
      </c>
    </row>
    <row r="13" spans="2:6" s="56" customFormat="1" ht="84" customHeight="1" x14ac:dyDescent="0.25">
      <c r="B13" s="89" t="s">
        <v>304</v>
      </c>
      <c r="C13" s="89"/>
    </row>
    <row r="14" spans="2:6" s="56" customFormat="1" ht="30.75" customHeight="1" x14ac:dyDescent="0.25">
      <c r="B14" s="93" t="s">
        <v>87</v>
      </c>
      <c r="C14" s="93"/>
    </row>
    <row r="15" spans="2:6" s="56" customFormat="1" ht="18.75" customHeight="1" x14ac:dyDescent="0.25">
      <c r="B15" s="92" t="s">
        <v>182</v>
      </c>
      <c r="C15" s="92"/>
    </row>
    <row r="16" spans="2:6" s="56" customFormat="1" ht="14.25" customHeight="1" x14ac:dyDescent="0.35">
      <c r="B16" s="60" t="s">
        <v>63</v>
      </c>
      <c r="C16" s="61"/>
    </row>
    <row r="17" spans="1:4" s="56" customFormat="1" ht="42" customHeight="1" x14ac:dyDescent="0.25">
      <c r="B17" s="89" t="s">
        <v>95</v>
      </c>
      <c r="C17" s="89"/>
    </row>
    <row r="18" spans="1:4" ht="14.25" customHeight="1" x14ac:dyDescent="0.35">
      <c r="A18" s="56"/>
      <c r="B18" s="60"/>
      <c r="C18" s="56"/>
      <c r="D18" s="56"/>
    </row>
    <row r="19" spans="1:4" ht="43.5" customHeight="1" x14ac:dyDescent="0.25">
      <c r="B19" s="89"/>
      <c r="C19" s="89"/>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workbookViewId="0">
      <pane xSplit="14" ySplit="12" topLeftCell="O13" activePane="bottomRight" state="frozen"/>
      <selection activeCell="B11" sqref="B11:C11"/>
      <selection pane="topRight" activeCell="B11" sqref="B11:C11"/>
      <selection pane="bottomLeft" activeCell="B11" sqref="B11:C11"/>
      <selection pane="bottomRight" activeCell="M13" sqref="M1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68</v>
      </c>
      <c r="C7" s="98"/>
      <c r="D7" s="98"/>
      <c r="E7" s="98"/>
      <c r="F7" s="98"/>
      <c r="G7" s="98"/>
      <c r="H7" s="98"/>
      <c r="I7" s="98"/>
      <c r="J7" s="98"/>
      <c r="K7" s="98"/>
      <c r="L7" s="2"/>
    </row>
    <row r="8" spans="1:17" x14ac:dyDescent="0.3">
      <c r="C8" s="3"/>
      <c r="G8" s="9"/>
      <c r="H8" s="9"/>
      <c r="I8" s="9"/>
      <c r="K8" s="9"/>
      <c r="L8" s="9"/>
      <c r="M8" s="100" t="str">
        <f>IF(Community!$K$11=1,CONCATENATE(G12,": per cent higher or lower than ",J12),"")</f>
        <v xml:space="preserve">Greater Dandenong : per cent higher or lower than Greater Melbourne </v>
      </c>
      <c r="N8" s="100"/>
    </row>
    <row r="9" spans="1:17" ht="3" customHeight="1" x14ac:dyDescent="0.3">
      <c r="G9" s="9"/>
      <c r="H9" s="9"/>
      <c r="I9" s="9"/>
      <c r="J9" s="9"/>
      <c r="K9" s="9"/>
      <c r="L9" s="9"/>
      <c r="M9" s="100"/>
      <c r="N9" s="100"/>
    </row>
    <row r="10" spans="1:17" ht="3" customHeight="1" x14ac:dyDescent="0.3">
      <c r="G10" s="17"/>
      <c r="H10" s="9"/>
      <c r="I10" s="9"/>
      <c r="J10" s="8"/>
      <c r="K10" s="8"/>
      <c r="L10" s="9"/>
      <c r="M10" s="100"/>
      <c r="N10" s="100"/>
    </row>
    <row r="11" spans="1:17" ht="15" customHeight="1" x14ac:dyDescent="0.3">
      <c r="A11" s="3" t="s">
        <v>62</v>
      </c>
      <c r="G11" s="44"/>
      <c r="H11" s="10">
        <v>26</v>
      </c>
      <c r="I11" s="9"/>
      <c r="J11" s="10">
        <v>80</v>
      </c>
      <c r="K11" s="16">
        <v>1</v>
      </c>
      <c r="L11" s="9"/>
      <c r="M11" s="100"/>
      <c r="N11" s="100"/>
    </row>
    <row r="12" spans="1:17" ht="16.5" customHeight="1" x14ac:dyDescent="0.35">
      <c r="B12" s="103" t="str">
        <f>IF(Community!K11=2,"A high standardized score represents a more favorable outcome","")</f>
        <v/>
      </c>
      <c r="C12" s="103"/>
      <c r="D12" s="103"/>
      <c r="E12" s="103"/>
      <c r="F12" s="103"/>
      <c r="G12" s="101" t="str">
        <f>INDEX('Data 3 Table'!B4:B84,H11)</f>
        <v xml:space="preserve">Greater Dandenong </v>
      </c>
      <c r="H12" s="101"/>
      <c r="I12" s="4"/>
      <c r="J12" s="101" t="str">
        <f>INDEX('Data 3 Table'!B4:B84,J11)</f>
        <v xml:space="preserve">Greater Melbourne </v>
      </c>
      <c r="K12" s="101"/>
      <c r="M12" s="100"/>
      <c r="N12" s="100"/>
      <c r="O12" s="97"/>
      <c r="P12" s="97"/>
      <c r="Q12" s="97"/>
    </row>
    <row r="13" spans="1:17" ht="23.25" customHeight="1" x14ac:dyDescent="0.3">
      <c r="A13" s="13">
        <v>1</v>
      </c>
      <c r="B13" s="94" t="str">
        <f>'Data 3 Table'!C3</f>
        <v>Per cent of residents with limited English proficiency, 2021</v>
      </c>
      <c r="C13" s="94"/>
      <c r="D13" s="94"/>
      <c r="E13" s="94"/>
      <c r="F13" s="94"/>
      <c r="G13" s="95">
        <f>VLOOKUP($H$11,'Data 3 Table'!$A$4:$CW$84,2+$A13)</f>
        <v>14.378539644012944</v>
      </c>
      <c r="H13" s="95"/>
      <c r="I13" s="15"/>
      <c r="J13" s="96">
        <f>VLOOKUP($J$11,'Data 3 Table'!$A$4:$CW$84,2+$A13)</f>
        <v>4.4758680290783381</v>
      </c>
      <c r="K13" s="96"/>
      <c r="M13" s="40">
        <f t="shared" ref="M13:M20" si="0">(G13-J13)/J13*100</f>
        <v>221.24583545806072</v>
      </c>
      <c r="N13" s="6"/>
      <c r="O13" s="6"/>
      <c r="P13" s="5"/>
      <c r="Q13" s="5"/>
    </row>
    <row r="14" spans="1:17" ht="23.25" customHeight="1" x14ac:dyDescent="0.3">
      <c r="A14" s="13">
        <v>2</v>
      </c>
      <c r="B14" s="102" t="str">
        <f>'Data 3 Table'!D3</f>
        <v>I feel valued by society: 'never' or 'not often', 2020</v>
      </c>
      <c r="C14" s="102"/>
      <c r="D14" s="102"/>
      <c r="E14" s="102"/>
      <c r="F14" s="102"/>
      <c r="G14" s="106">
        <f>VLOOKUP($H$11,'Data 3 Table'!$A$4:$CW$84,2+$A14)</f>
        <v>17.083480000000002</v>
      </c>
      <c r="H14" s="106"/>
      <c r="I14" s="15"/>
      <c r="J14" s="99">
        <f>VLOOKUP($J$11,'Data 3 Table'!$A$4:$CW$84,2+$A14)</f>
        <v>10.786945193548386</v>
      </c>
      <c r="K14" s="99"/>
      <c r="M14" s="41">
        <f t="shared" si="0"/>
        <v>58.371806785646228</v>
      </c>
      <c r="N14" s="6"/>
      <c r="O14" s="6"/>
      <c r="P14" s="5"/>
      <c r="Q14" s="5"/>
    </row>
    <row r="15" spans="1:17" ht="23.25" customHeight="1" x14ac:dyDescent="0.3">
      <c r="A15" s="13">
        <v>3</v>
      </c>
      <c r="B15" s="94" t="str">
        <f>'Data 3 Table'!E3</f>
        <v>Per cent of residents who engage in voluntary work, 2021</v>
      </c>
      <c r="C15" s="94"/>
      <c r="D15" s="94"/>
      <c r="E15" s="94"/>
      <c r="F15" s="94"/>
      <c r="G15" s="95">
        <f>VLOOKUP($H$11,'Data 3 Table'!$A$4:$CW$84,2+$A15)</f>
        <v>7.6191411685739077</v>
      </c>
      <c r="H15" s="95"/>
      <c r="I15" s="15"/>
      <c r="J15" s="96">
        <f>VLOOKUP($J$11,'Data 3 Table'!$A$4:$CW$84,2+$A15)</f>
        <v>12.776822315721633</v>
      </c>
      <c r="K15" s="96"/>
      <c r="M15" s="40">
        <f t="shared" si="0"/>
        <v>-40.367479641642177</v>
      </c>
      <c r="N15" s="6"/>
      <c r="O15" s="6"/>
      <c r="P15" s="5"/>
      <c r="Q15" s="5"/>
    </row>
    <row r="16" spans="1:17" ht="23.25" customHeight="1" x14ac:dyDescent="0.3">
      <c r="A16" s="13">
        <v>4</v>
      </c>
      <c r="B16" s="102" t="str">
        <f>'Data 3 Table'!F3</f>
        <v>Feeling of Trust: most people could be trusted 'never' or 'not often', 2020</v>
      </c>
      <c r="C16" s="102"/>
      <c r="D16" s="102"/>
      <c r="E16" s="102"/>
      <c r="F16" s="102"/>
      <c r="G16" s="104">
        <f>VLOOKUP($H$11,'Data 3 Table'!$A$4:$CW$84,2+$A16)</f>
        <v>22.229109999999999</v>
      </c>
      <c r="H16" s="104"/>
      <c r="I16" s="15"/>
      <c r="J16" s="105">
        <f>VLOOKUP($J$11,'Data 3 Table'!$A$4:$CW$84,2+$A16)</f>
        <v>13.612406290322577</v>
      </c>
      <c r="K16" s="105"/>
      <c r="M16" s="41">
        <f t="shared" si="0"/>
        <v>63.300371190090523</v>
      </c>
      <c r="N16" s="6"/>
      <c r="O16" s="6"/>
      <c r="P16" s="5"/>
    </row>
    <row r="17" spans="1:17" ht="25.5" customHeight="1" x14ac:dyDescent="0.3">
      <c r="A17" s="13">
        <v>100</v>
      </c>
      <c r="B17" s="94" t="str">
        <f>'Data 3 Table'!CX3</f>
        <v>Has no close friends or family that they talk to regularly 2020</v>
      </c>
      <c r="C17" s="94"/>
      <c r="D17" s="94"/>
      <c r="E17" s="94"/>
      <c r="F17" s="94"/>
      <c r="G17" s="95">
        <f>VLOOKUP($H$11,'Data 3 Table'!$A$4:$CX$84,2+$A17)</f>
        <v>9.2988350000000004</v>
      </c>
      <c r="H17" s="95"/>
      <c r="I17" s="15"/>
      <c r="J17" s="96">
        <f>VLOOKUP($J$11,'Data 3 Table'!$A$4:$CX$84,2+$A17)</f>
        <v>4.7193062758620687</v>
      </c>
      <c r="K17" s="96"/>
      <c r="M17" s="40">
        <f t="shared" si="0"/>
        <v>97.038175876843169</v>
      </c>
      <c r="N17" s="9"/>
      <c r="O17" s="9"/>
      <c r="Q17" s="5"/>
    </row>
    <row r="18" spans="1:17" ht="28" customHeight="1" x14ac:dyDescent="0.3">
      <c r="A18" s="13">
        <v>88</v>
      </c>
      <c r="B18" s="107" t="str">
        <f>'Data 3 Table'!CL3</f>
        <v>Talk to friends a few times a month or less often, 2020</v>
      </c>
      <c r="C18" s="102"/>
      <c r="D18" s="102"/>
      <c r="E18" s="102"/>
      <c r="F18" s="102"/>
      <c r="G18" s="106">
        <f>VLOOKUP($H$11,'Data 3 Table'!$A$4:$CX$84,2+$A18)</f>
        <v>16.646132000000001</v>
      </c>
      <c r="H18" s="106"/>
      <c r="I18" s="15"/>
      <c r="J18" s="99">
        <f>VLOOKUP($J$11,'Data 3 Table'!$A$4:$CX$84,2+$A18)</f>
        <v>18.302908351612906</v>
      </c>
      <c r="K18" s="99"/>
      <c r="M18" s="41">
        <f t="shared" si="0"/>
        <v>-9.0519840879108422</v>
      </c>
      <c r="N18" s="9"/>
      <c r="O18" s="9"/>
    </row>
    <row r="19" spans="1:17" ht="24.5" customHeight="1" x14ac:dyDescent="0.3">
      <c r="A19" s="13">
        <v>89</v>
      </c>
      <c r="B19" s="108" t="str">
        <f>'Data 3 Table'!CM3</f>
        <v>Ran out of money to buy food during the past 12 months, 2020</v>
      </c>
      <c r="C19" s="94"/>
      <c r="D19" s="94"/>
      <c r="E19" s="94"/>
      <c r="F19" s="94"/>
      <c r="G19" s="95">
        <f>VLOOKUP($H$11,'Data 3 Table'!$A$4:$CX$84,2+$A19)</f>
        <v>12.93365</v>
      </c>
      <c r="H19" s="95"/>
      <c r="I19" s="15"/>
      <c r="J19" s="96">
        <f>VLOOKUP($J$11,'Data 3 Table'!$A$4:$CX$84,2+$A19)</f>
        <v>5.8868295862068969</v>
      </c>
      <c r="K19" s="96"/>
      <c r="M19" s="40">
        <f t="shared" si="0"/>
        <v>119.70484809521437</v>
      </c>
    </row>
    <row r="20" spans="1:17" ht="26" customHeight="1" x14ac:dyDescent="0.3">
      <c r="A20" s="13">
        <v>75</v>
      </c>
      <c r="B20" s="107" t="str">
        <f>'Data 3 Table'!BY3</f>
        <v>Multiculturalism makes life in your area better 'never' or 'not often', 2021</v>
      </c>
      <c r="C20" s="102"/>
      <c r="D20" s="102"/>
      <c r="E20" s="102"/>
      <c r="F20" s="102"/>
      <c r="G20" s="106">
        <f>VLOOKUP($H$11,'Data 3 Table'!$A$4:$CX$84,2+$A20)</f>
        <v>8.5243590000000005</v>
      </c>
      <c r="H20" s="106"/>
      <c r="I20" s="15"/>
      <c r="J20" s="99">
        <f>VLOOKUP($J$11,'Data 3 Table'!$A$4:$CX$84,2+$A20)</f>
        <v>6.4880088333333328</v>
      </c>
      <c r="K20" s="99"/>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C12:F12">
    <cfRule type="expression" dxfId="405" priority="17" stopIfTrue="1">
      <formula>K8=2</formula>
    </cfRule>
  </conditionalFormatting>
  <conditionalFormatting sqref="B12">
    <cfRule type="expression" dxfId="404" priority="19" stopIfTrue="1">
      <formula>K11=2</formula>
    </cfRule>
  </conditionalFormatting>
  <conditionalFormatting sqref="M13 M15 M17">
    <cfRule type="expression" dxfId="403" priority="20" stopIfTrue="1">
      <formula>$K$11=1</formula>
    </cfRule>
  </conditionalFormatting>
  <conditionalFormatting sqref="M14 M16">
    <cfRule type="expression" dxfId="402" priority="22" stopIfTrue="1">
      <formula>$K$11=1</formula>
    </cfRule>
  </conditionalFormatting>
  <conditionalFormatting sqref="M18">
    <cfRule type="expression" dxfId="401" priority="3" stopIfTrue="1">
      <formula>$K$11=1</formula>
    </cfRule>
  </conditionalFormatting>
  <conditionalFormatting sqref="M19">
    <cfRule type="expression" dxfId="400" priority="1" stopIfTrue="1">
      <formula>$K$11=1</formula>
    </cfRule>
  </conditionalFormatting>
  <conditionalFormatting sqref="M20">
    <cfRule type="expression" dxfId="399"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69</v>
      </c>
      <c r="C7" s="98"/>
      <c r="D7" s="98"/>
      <c r="E7" s="98"/>
      <c r="F7" s="98"/>
      <c r="G7" s="98"/>
      <c r="H7" s="98"/>
      <c r="I7" s="98"/>
      <c r="J7" s="98"/>
      <c r="K7" s="98"/>
      <c r="L7" s="2"/>
    </row>
    <row r="8" spans="1:15" x14ac:dyDescent="0.3">
      <c r="C8" s="3"/>
      <c r="G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17</v>
      </c>
      <c r="B13" s="94" t="str">
        <f>'Data 3 Table'!S3</f>
        <v>Per cent prep pupils who had not attended pre-school before their first year at school: 2021</v>
      </c>
      <c r="C13" s="94"/>
      <c r="D13" s="94"/>
      <c r="E13" s="94"/>
      <c r="F13" s="94"/>
      <c r="G13" s="109">
        <f>VLOOKUP($G$11,'Data 3 Table'!$A$4:$CW$84,2+$A13)</f>
        <v>6.7</v>
      </c>
      <c r="H13" s="109"/>
      <c r="I13" s="14"/>
      <c r="J13" s="110">
        <f>VLOOKUP($J$11,'Data 3 Table'!$A$4:$CW$84,2+$A13)</f>
        <v>0</v>
      </c>
      <c r="K13" s="110"/>
      <c r="M13" s="19" t="e">
        <f>(G13-J13)/J13*100</f>
        <v>#DIV/0!</v>
      </c>
      <c r="N13" s="6"/>
      <c r="O13" s="6"/>
    </row>
    <row r="14" spans="1:15" ht="24" customHeight="1" x14ac:dyDescent="0.3">
      <c r="A14" s="13">
        <v>16</v>
      </c>
      <c r="B14" s="102" t="str">
        <f>'Data 3 Table'!R3</f>
        <v>Per cent of prep. pupils developmentally vulnerable in 1 or more domains, 2021</v>
      </c>
      <c r="C14" s="102"/>
      <c r="D14" s="102"/>
      <c r="E14" s="102"/>
      <c r="F14" s="102"/>
      <c r="G14" s="112">
        <f>VLOOKUP($G$11,'Data 3 Table'!$A$4:$CW$84,2+$A14)</f>
        <v>28.2</v>
      </c>
      <c r="H14" s="112"/>
      <c r="I14" s="14"/>
      <c r="J14" s="113">
        <f>VLOOKUP($J$11,'Data 3 Table'!$A$4:$CW$84,2+$A14)</f>
        <v>17.716129032258063</v>
      </c>
      <c r="K14" s="113"/>
      <c r="M14" s="18">
        <f t="shared" ref="M14:M21" si="0">(G14-J14)/J14*100</f>
        <v>59.17698470502549</v>
      </c>
      <c r="N14" s="6"/>
      <c r="O14" s="6"/>
    </row>
    <row r="15" spans="1:15" ht="24" customHeight="1" x14ac:dyDescent="0.3">
      <c r="A15" s="13">
        <v>15</v>
      </c>
      <c r="B15" s="94" t="str">
        <f>'Data 3 Table'!Q3</f>
        <v>Per cent of  20-24 year olds who left school before completing year 11, 2021</v>
      </c>
      <c r="C15" s="94"/>
      <c r="D15" s="94"/>
      <c r="E15" s="94"/>
      <c r="F15" s="94"/>
      <c r="G15" s="109">
        <f>VLOOKUP($G$11,'Data 3 Table'!$A$4:$CW$84,2+$A15)</f>
        <v>8.1360390830514842</v>
      </c>
      <c r="H15" s="109"/>
      <c r="I15" s="14"/>
      <c r="J15" s="110">
        <f>VLOOKUP($J$11,'Data 3 Table'!$A$4:$CW$84,2+$A15)</f>
        <v>6.3273493484426542</v>
      </c>
      <c r="K15" s="110"/>
      <c r="M15" s="19">
        <f t="shared" si="0"/>
        <v>28.5852674636023</v>
      </c>
      <c r="N15" s="6"/>
      <c r="O15" s="6"/>
    </row>
    <row r="16" spans="1:15" ht="24" customHeight="1" x14ac:dyDescent="0.3">
      <c r="A16" s="13">
        <v>14</v>
      </c>
      <c r="B16" s="102" t="str">
        <f>'Data 3 Table'!P3</f>
        <v>Youth disengagement rate [per cent not in paid employment or enrolled in formal education], 20-24 year-olds, 2021</v>
      </c>
      <c r="C16" s="102"/>
      <c r="D16" s="102"/>
      <c r="E16" s="102"/>
      <c r="F16" s="102"/>
      <c r="G16" s="114">
        <f>VLOOKUP($G$11,'Data 3 Table'!$A$4:$CW$84,2+$A16)</f>
        <v>13.187019320952917</v>
      </c>
      <c r="H16" s="114"/>
      <c r="I16" s="14"/>
      <c r="J16" s="115">
        <f>VLOOKUP($J$11,'Data 3 Table'!$A$4:$CW$84,2+$A16)</f>
        <v>9.4889317053000841</v>
      </c>
      <c r="K16" s="115"/>
      <c r="M16" s="18">
        <f t="shared" si="0"/>
        <v>38.972644450452201</v>
      </c>
      <c r="N16" s="6"/>
      <c r="O16" s="6"/>
    </row>
    <row r="17" spans="1:15" ht="24" customHeight="1" x14ac:dyDescent="0.3">
      <c r="A17" s="13">
        <v>12</v>
      </c>
      <c r="B17" s="94" t="str">
        <f>'Data 3 Table'!N3</f>
        <v>Per cent of 20-24 year-olds attending university or other tertiary institution, 2021</v>
      </c>
      <c r="C17" s="94"/>
      <c r="D17" s="94"/>
      <c r="E17" s="94"/>
      <c r="F17" s="94"/>
      <c r="G17" s="109">
        <f>VLOOKUP($G$11,'Data 3 Table'!$A$4:$CW$84,2+$A17)</f>
        <v>47.088418894996735</v>
      </c>
      <c r="H17" s="109"/>
      <c r="I17" s="14"/>
      <c r="J17" s="110">
        <f>VLOOKUP($J$11,'Data 3 Table'!$A$4:$CW$84,2+$A17)</f>
        <v>39.926821054420017</v>
      </c>
      <c r="K17" s="110"/>
      <c r="M17" s="19">
        <f t="shared" si="0"/>
        <v>17.936809521638359</v>
      </c>
      <c r="N17" s="6"/>
      <c r="O17" s="6"/>
    </row>
    <row r="18" spans="1:15" ht="24" customHeight="1" x14ac:dyDescent="0.3">
      <c r="A18" s="13">
        <v>11</v>
      </c>
      <c r="B18" s="102" t="str">
        <f>'Data 3 Table'!M3</f>
        <v>Per cent of 25-44 year-olds who hold a degree, 2021</v>
      </c>
      <c r="C18" s="102"/>
      <c r="D18" s="102"/>
      <c r="E18" s="102"/>
      <c r="F18" s="102"/>
      <c r="G18" s="114">
        <f>VLOOKUP($G$11,'Data 3 Table'!$A$4:$CW$84,2+$A18)</f>
        <v>36.871160372900285</v>
      </c>
      <c r="H18" s="114"/>
      <c r="I18" s="14"/>
      <c r="J18" s="115">
        <f>VLOOKUP($J$11,'Data 3 Table'!$A$4:$CW$84,2+$A18)</f>
        <v>49.481801722251561</v>
      </c>
      <c r="K18" s="115"/>
      <c r="M18" s="18">
        <f t="shared" si="0"/>
        <v>-25.485412637431054</v>
      </c>
      <c r="N18" s="6"/>
      <c r="O18" s="6"/>
    </row>
    <row r="19" spans="1:15" ht="24" customHeight="1" x14ac:dyDescent="0.3">
      <c r="A19" s="13">
        <v>6</v>
      </c>
      <c r="B19" s="94" t="str">
        <f>'Data 3 Table'!H3</f>
        <v>Percentage of Pupils that did not meet National Literacy Benchmarks: 2019</v>
      </c>
      <c r="C19" s="94"/>
      <c r="D19" s="94"/>
      <c r="E19" s="94"/>
      <c r="F19" s="94"/>
      <c r="G19" s="109">
        <f>VLOOKUP($G$11,'Data 3 Table'!$A$4:$CW$84,2+$A19)</f>
        <v>13.798977853492332</v>
      </c>
      <c r="H19" s="109"/>
      <c r="I19" s="14"/>
      <c r="J19" s="110">
        <f>VLOOKUP($J$11,'Data 3 Table'!$A$4:$CW$84,2+$A19)</f>
        <v>7.405966794137564</v>
      </c>
      <c r="K19" s="110"/>
      <c r="M19" s="19">
        <f t="shared" si="0"/>
        <v>86.322437529903127</v>
      </c>
      <c r="N19" s="6"/>
      <c r="O19" s="6"/>
    </row>
    <row r="20" spans="1:15" ht="24" customHeight="1" x14ac:dyDescent="0.3">
      <c r="A20" s="13">
        <v>7</v>
      </c>
      <c r="B20" s="102" t="str">
        <f>'Data 3 Table'!I3</f>
        <v>Percentage of Pupils that did not meet National Numeracy Benchmarks: 2019</v>
      </c>
      <c r="C20" s="102"/>
      <c r="D20" s="102"/>
      <c r="E20" s="102"/>
      <c r="F20" s="102"/>
      <c r="G20" s="114">
        <f>VLOOKUP($G$11,'Data 3 Table'!$A$4:$CW$84,2+$A20)</f>
        <v>8.011363636363626</v>
      </c>
      <c r="H20" s="114"/>
      <c r="I20" s="14"/>
      <c r="J20" s="115">
        <f>VLOOKUP($J$11,'Data 3 Table'!$A$4:$CW$84,2+$A20)</f>
        <v>3.5578380851827189</v>
      </c>
      <c r="K20" s="115"/>
      <c r="M20" s="18">
        <f t="shared" si="0"/>
        <v>125.17504857032269</v>
      </c>
      <c r="N20" s="6"/>
      <c r="O20" s="6"/>
    </row>
    <row r="21" spans="1:15" ht="24" customHeight="1" x14ac:dyDescent="0.3">
      <c r="A21" s="13">
        <v>10</v>
      </c>
      <c r="B21" s="94" t="str">
        <f>'Data 3 Table'!L3</f>
        <v>Per cent of persons who left school before finishing yr. 11, 2021</v>
      </c>
      <c r="C21" s="94"/>
      <c r="D21" s="94"/>
      <c r="E21" s="94"/>
      <c r="F21" s="94"/>
      <c r="G21" s="109">
        <f>VLOOKUP($G$11,'Data 3 Table'!$A$4:$CW$84,2+$A21)</f>
        <v>30.634307867581366</v>
      </c>
      <c r="H21" s="109"/>
      <c r="I21" s="14"/>
      <c r="J21" s="110">
        <f>VLOOKUP($J$11,'Data 3 Table'!$A$4:$CW$84,2+$A21)</f>
        <v>21.084410893318612</v>
      </c>
      <c r="K21" s="110"/>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8" priority="8" stopIfTrue="1">
      <formula>J8=2</formula>
    </cfRule>
  </conditionalFormatting>
  <conditionalFormatting sqref="M13:M21">
    <cfRule type="expression" dxfId="397" priority="7" stopIfTrue="1">
      <formula>$N$1=2</formula>
    </cfRule>
  </conditionalFormatting>
  <conditionalFormatting sqref="M18">
    <cfRule type="expression" dxfId="396" priority="3" stopIfTrue="1">
      <formula>$N$1=2</formula>
    </cfRule>
  </conditionalFormatting>
  <conditionalFormatting sqref="M20">
    <cfRule type="expression" dxfId="395" priority="2" stopIfTrue="1">
      <formula>$N$1=2</formula>
    </cfRule>
  </conditionalFormatting>
  <conditionalFormatting sqref="M17 M19 M21">
    <cfRule type="expression" dxfId="39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70</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20</v>
      </c>
      <c r="B13" s="94" t="str">
        <f>'Data 3 Table'!V3</f>
        <v>Youth disengagement rate [per cent not in paid employment or enrolled in formal education] among 20-24 year-olds, 2021</v>
      </c>
      <c r="C13" s="94"/>
      <c r="D13" s="94"/>
      <c r="E13" s="94"/>
      <c r="F13" s="94"/>
      <c r="G13" s="109">
        <f>VLOOKUP($G$11,'Data 3 Table'!$A$4:$CW$84,2+$A13)</f>
        <v>13.187019320952917</v>
      </c>
      <c r="H13" s="109"/>
      <c r="I13" s="14"/>
      <c r="J13" s="110">
        <f>VLOOKUP($J$11,'Data 3 Table'!$A$4:$CW$84,2+$A13)</f>
        <v>9.4889317053000841</v>
      </c>
      <c r="K13" s="110"/>
      <c r="M13" s="40">
        <f>(G13-J13)/J13*100</f>
        <v>38.972644450452201</v>
      </c>
      <c r="N13" s="6"/>
      <c r="O13" s="6"/>
    </row>
    <row r="14" spans="1:15" ht="23.25" customHeight="1" x14ac:dyDescent="0.3">
      <c r="A14" s="13">
        <v>19</v>
      </c>
      <c r="B14" s="102" t="str">
        <f>'Data 3 Table'!U3</f>
        <v>Unemployment rate, persons 15+, June 2023</v>
      </c>
      <c r="C14" s="102"/>
      <c r="D14" s="102"/>
      <c r="E14" s="102"/>
      <c r="F14" s="102"/>
      <c r="G14" s="114">
        <f>VLOOKUP($G$11,'Data 3 Table'!$A$4:$CW$84,2+$A14)</f>
        <v>6.5</v>
      </c>
      <c r="H14" s="114"/>
      <c r="I14" s="14"/>
      <c r="J14" s="115">
        <f>VLOOKUP($J$11,'Data 3 Table'!$A$4:$CW$84,2+$A14)</f>
        <v>3.9</v>
      </c>
      <c r="K14" s="115"/>
      <c r="M14" s="41">
        <f>(G14-J14)/J14*100</f>
        <v>66.666666666666671</v>
      </c>
      <c r="N14" s="6"/>
      <c r="O14" s="6"/>
    </row>
    <row r="15" spans="1:15" ht="23.25" customHeight="1" x14ac:dyDescent="0.3">
      <c r="A15" s="13">
        <v>18</v>
      </c>
      <c r="B15" s="94" t="str">
        <f>'Data 3 Table'!T3</f>
        <v>Managers and professionals as a percentage of employed residents, 2021</v>
      </c>
      <c r="C15" s="94"/>
      <c r="D15" s="94"/>
      <c r="E15" s="94"/>
      <c r="F15" s="94"/>
      <c r="G15" s="116">
        <f>VLOOKUP($G$11,'Data 3 Table'!$A$4:$CW$84,2+$A15)</f>
        <v>24.532173965918247</v>
      </c>
      <c r="H15" s="116"/>
      <c r="I15" s="14"/>
      <c r="J15" s="117">
        <f>VLOOKUP($J$11,'Data 3 Table'!$A$4:$CW$84,2+$A15)</f>
        <v>43.220340495897851</v>
      </c>
      <c r="K15" s="117"/>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393" priority="5" stopIfTrue="1">
      <formula>J8=2</formula>
    </cfRule>
  </conditionalFormatting>
  <conditionalFormatting sqref="M13">
    <cfRule type="expression" dxfId="392" priority="4" stopIfTrue="1">
      <formula>$J$8=1</formula>
    </cfRule>
  </conditionalFormatting>
  <conditionalFormatting sqref="M14">
    <cfRule type="expression" dxfId="391" priority="3" stopIfTrue="1">
      <formula>$J$8=1</formula>
    </cfRule>
  </conditionalFormatting>
  <conditionalFormatting sqref="M15">
    <cfRule type="expression" dxfId="390" priority="2" stopIfTrue="1">
      <formula>$J$8=1</formula>
    </cfRule>
  </conditionalFormatting>
  <conditionalFormatting sqref="M15">
    <cfRule type="expression" dxfId="389"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71</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31</v>
      </c>
      <c r="B13" s="94" t="str">
        <f>'Data 3 Table'!AG3</f>
        <v>Median weekly gross individual income, persons aged 15 years or more, 2021</v>
      </c>
      <c r="C13" s="94"/>
      <c r="D13" s="94"/>
      <c r="E13" s="94"/>
      <c r="F13" s="94"/>
      <c r="G13" s="118">
        <f>VLOOKUP($G$11,'Data 3 Table'!$A$4:$CW$84,2+$A13)</f>
        <v>618.54838709677415</v>
      </c>
      <c r="H13" s="118"/>
      <c r="I13" s="14"/>
      <c r="J13" s="119">
        <f>VLOOKUP($J$11,'Data 3 Table'!$A$4:$CW$84,2+$A13)</f>
        <v>841.00932862453988</v>
      </c>
      <c r="K13" s="119"/>
      <c r="M13" s="19">
        <f>(G13-J13)/J13*100</f>
        <v>-26.451661587582837</v>
      </c>
      <c r="N13" s="6"/>
      <c r="O13" s="6"/>
      <c r="P13" s="8"/>
    </row>
    <row r="14" spans="1:16" ht="23.25" customHeight="1" x14ac:dyDescent="0.3">
      <c r="A14" s="13">
        <v>32</v>
      </c>
      <c r="B14" s="102" t="str">
        <f>'Data 3 Table'!AH3</f>
        <v>Per cent of weekly individual incomes below $250 among persons aged 35-44 years, 2021</v>
      </c>
      <c r="C14" s="102"/>
      <c r="D14" s="102"/>
      <c r="E14" s="102"/>
      <c r="F14" s="102"/>
      <c r="G14" s="112">
        <f>VLOOKUP($G$11,'Data 3 Table'!$A$4:$CW$84,2+$A14)</f>
        <v>15.880327563744649</v>
      </c>
      <c r="H14" s="112"/>
      <c r="I14" s="14"/>
      <c r="J14" s="113">
        <f>VLOOKUP($J$11,'Data 3 Table'!$A$4:$CW$84,2+$A14)</f>
        <v>15</v>
      </c>
      <c r="K14" s="113"/>
      <c r="M14" s="18">
        <f>(G14-J14)/J14*100</f>
        <v>5.8688504249643243</v>
      </c>
      <c r="N14" s="6"/>
      <c r="O14" s="6"/>
      <c r="P14" s="8"/>
    </row>
    <row r="15" spans="1:16" ht="23.25" customHeight="1" x14ac:dyDescent="0.3">
      <c r="A15" s="13">
        <v>101</v>
      </c>
      <c r="B15" s="94" t="str">
        <f>'Data 3 Table'!CY3</f>
        <v>Health Care Card Holders as a percentage of the population, June 2023</v>
      </c>
      <c r="C15" s="94"/>
      <c r="D15" s="94"/>
      <c r="E15" s="94"/>
      <c r="F15" s="94"/>
      <c r="G15" s="109">
        <f>VLOOKUP($G$11,'Data 3 Table'!$A$4:$CY$84,2+$A15)</f>
        <v>6.9675936929177587</v>
      </c>
      <c r="H15" s="109"/>
      <c r="I15" s="62"/>
      <c r="J15" s="110">
        <f>VLOOKUP($J$11,'Data 3 Table'!$A$4:$CY$84,2+$A15)</f>
        <v>4.5999999999999996</v>
      </c>
      <c r="K15" s="110"/>
      <c r="M15" s="19"/>
      <c r="N15" s="6"/>
      <c r="O15" s="6"/>
      <c r="P15" s="8"/>
    </row>
    <row r="16" spans="1:16" ht="23.25" customHeight="1" x14ac:dyDescent="0.3">
      <c r="A16" s="13">
        <v>5</v>
      </c>
      <c r="B16" s="102" t="str">
        <f>'Data 3 Table'!G3</f>
        <v>EGM Losses per adult 2022/23</v>
      </c>
      <c r="C16" s="102"/>
      <c r="D16" s="102"/>
      <c r="E16" s="102"/>
      <c r="F16" s="102"/>
      <c r="G16" s="122">
        <f>VLOOKUP($G$11,'Data 3 Table'!$A$4:$CW$84,2+$A16)</f>
        <v>1089.3991978295433</v>
      </c>
      <c r="H16" s="122"/>
      <c r="I16" s="14"/>
      <c r="J16" s="123">
        <f>VLOOKUP($J$11,'Data 3 Table'!$A$4:$CW$84,2+$A16)</f>
        <v>594</v>
      </c>
      <c r="K16" s="123"/>
      <c r="M16" s="18">
        <f>(G16-J16)/J16*100</f>
        <v>83.400538355141961</v>
      </c>
      <c r="N16" s="6"/>
      <c r="O16" s="6"/>
      <c r="P16" s="8"/>
    </row>
    <row r="17" spans="1:16" ht="23.25" customHeight="1" x14ac:dyDescent="0.3">
      <c r="A17" s="13">
        <v>33</v>
      </c>
      <c r="B17" s="94" t="str">
        <f>'Data 3 Table'!AI3</f>
        <v>SEIFA Index of Relative Socio-economic Disadvantage, 2021</v>
      </c>
      <c r="C17" s="94"/>
      <c r="D17" s="94"/>
      <c r="E17" s="94"/>
      <c r="F17" s="94"/>
      <c r="G17" s="116">
        <f>VLOOKUP($G$11,'Data 3 Table'!$A$4:$CW$84,2+$A17)</f>
        <v>887</v>
      </c>
      <c r="H17" s="116"/>
      <c r="I17" s="62"/>
      <c r="J17" s="117">
        <f>VLOOKUP($J$11,'Data 3 Table'!$A$4:$CW$84,2+$A17)</f>
        <v>0</v>
      </c>
      <c r="K17" s="117"/>
      <c r="M17" s="19" t="e">
        <f>(G17-J17)/J17*100</f>
        <v>#DIV/0!</v>
      </c>
      <c r="N17" s="6"/>
      <c r="O17" s="6"/>
      <c r="P17" s="8"/>
    </row>
    <row r="18" spans="1:16" ht="39.75" customHeight="1" x14ac:dyDescent="0.3">
      <c r="A18" s="13">
        <v>38</v>
      </c>
      <c r="B18" s="102" t="str">
        <f>'Data 3 Table'!AN3</f>
        <v>Gini Coefficient, 2021 (a measure of income distribution - 1 = complete inequality; 0 = complete equality), 2021</v>
      </c>
      <c r="C18" s="102"/>
      <c r="D18" s="102"/>
      <c r="E18" s="102"/>
      <c r="F18" s="102"/>
      <c r="G18" s="120">
        <f>VLOOKUP($G$11,'Data 3 Table'!$A$4:$CW$84,2+$A18)</f>
        <v>0.435</v>
      </c>
      <c r="H18" s="120"/>
      <c r="I18" s="14"/>
      <c r="J18" s="121">
        <f>VLOOKUP($J$11,'Data 3 Table'!$A$4:$CW$84,2+$A18)</f>
        <v>0.47</v>
      </c>
      <c r="K18" s="121"/>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388" priority="22" stopIfTrue="1">
      <formula>J8=2</formula>
    </cfRule>
  </conditionalFormatting>
  <conditionalFormatting sqref="M17 M13:M14">
    <cfRule type="expression" dxfId="387" priority="21" stopIfTrue="1">
      <formula>$J$8=1</formula>
    </cfRule>
  </conditionalFormatting>
  <conditionalFormatting sqref="M16 M14 M18">
    <cfRule type="expression" dxfId="386" priority="20" stopIfTrue="1">
      <formula>$J$8=1</formula>
    </cfRule>
  </conditionalFormatting>
  <conditionalFormatting sqref="M16">
    <cfRule type="expression" dxfId="385" priority="19" stopIfTrue="1">
      <formula>$J$8=1</formula>
    </cfRule>
  </conditionalFormatting>
  <conditionalFormatting sqref="M17">
    <cfRule type="expression" dxfId="384" priority="18" stopIfTrue="1">
      <formula>$J$8=1</formula>
    </cfRule>
  </conditionalFormatting>
  <conditionalFormatting sqref="M18">
    <cfRule type="expression" dxfId="383" priority="17" stopIfTrue="1">
      <formula>$J$8=1</formula>
    </cfRule>
  </conditionalFormatting>
  <conditionalFormatting sqref="M13:M14 M16:M18">
    <cfRule type="expression" dxfId="382" priority="16" stopIfTrue="1">
      <formula>$N$1=2</formula>
    </cfRule>
  </conditionalFormatting>
  <conditionalFormatting sqref="M18">
    <cfRule type="expression" dxfId="381" priority="15" stopIfTrue="1">
      <formula>$N$1=2</formula>
    </cfRule>
  </conditionalFormatting>
  <conditionalFormatting sqref="M16">
    <cfRule type="expression" dxfId="380" priority="14" stopIfTrue="1">
      <formula>$J$8=1</formula>
    </cfRule>
  </conditionalFormatting>
  <conditionalFormatting sqref="M16">
    <cfRule type="expression" dxfId="379" priority="13" stopIfTrue="1">
      <formula>$J$8=1</formula>
    </cfRule>
  </conditionalFormatting>
  <conditionalFormatting sqref="M17">
    <cfRule type="expression" dxfId="378" priority="12" stopIfTrue="1">
      <formula>$J$8=1</formula>
    </cfRule>
  </conditionalFormatting>
  <conditionalFormatting sqref="M17">
    <cfRule type="expression" dxfId="377" priority="11" stopIfTrue="1">
      <formula>$J$8=1</formula>
    </cfRule>
  </conditionalFormatting>
  <conditionalFormatting sqref="M17">
    <cfRule type="expression" dxfId="376" priority="10" stopIfTrue="1">
      <formula>$N$1=2</formula>
    </cfRule>
  </conditionalFormatting>
  <conditionalFormatting sqref="M18">
    <cfRule type="expression" dxfId="375" priority="9" stopIfTrue="1">
      <formula>$J$8=1</formula>
    </cfRule>
  </conditionalFormatting>
  <conditionalFormatting sqref="M18">
    <cfRule type="expression" dxfId="374" priority="8" stopIfTrue="1">
      <formula>$J$8=1</formula>
    </cfRule>
  </conditionalFormatting>
  <conditionalFormatting sqref="M18">
    <cfRule type="expression" dxfId="373" priority="7" stopIfTrue="1">
      <formula>$J$8=1</formula>
    </cfRule>
  </conditionalFormatting>
  <conditionalFormatting sqref="M15">
    <cfRule type="expression" dxfId="372" priority="6" stopIfTrue="1">
      <formula>$J$8=1</formula>
    </cfRule>
  </conditionalFormatting>
  <conditionalFormatting sqref="M15">
    <cfRule type="expression" dxfId="371" priority="5" stopIfTrue="1">
      <formula>$J$8=1</formula>
    </cfRule>
  </conditionalFormatting>
  <conditionalFormatting sqref="M15">
    <cfRule type="expression" dxfId="370" priority="4" stopIfTrue="1">
      <formula>$N$1=2</formula>
    </cfRule>
  </conditionalFormatting>
  <conditionalFormatting sqref="M15">
    <cfRule type="expression" dxfId="369" priority="3" stopIfTrue="1">
      <formula>$J$8=1</formula>
    </cfRule>
  </conditionalFormatting>
  <conditionalFormatting sqref="M15">
    <cfRule type="expression" dxfId="368" priority="2" stopIfTrue="1">
      <formula>$J$8=1</formula>
    </cfRule>
  </conditionalFormatting>
  <conditionalFormatting sqref="M15">
    <cfRule type="expression" dxfId="367" priority="1" stopIfTrue="1">
      <formula>$N$1=2</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75</v>
      </c>
      <c r="C7" s="98"/>
      <c r="D7" s="98"/>
      <c r="E7" s="98"/>
      <c r="F7" s="98"/>
      <c r="G7" s="98"/>
      <c r="H7" s="98"/>
      <c r="I7" s="98"/>
      <c r="J7" s="98"/>
      <c r="K7" s="98"/>
      <c r="L7" s="2"/>
    </row>
    <row r="8" spans="1:15" x14ac:dyDescent="0.3">
      <c r="A8" s="8"/>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A9" s="8"/>
      <c r="G9" s="9"/>
      <c r="H9" s="9"/>
      <c r="I9" s="9"/>
      <c r="J9" s="9"/>
      <c r="M9" s="100"/>
      <c r="N9" s="100"/>
    </row>
    <row r="10" spans="1:15" ht="13.5" customHeight="1" x14ac:dyDescent="0.35">
      <c r="A10" s="8"/>
      <c r="F10" s="3"/>
      <c r="G10" s="111"/>
      <c r="H10" s="111"/>
      <c r="I10" s="111"/>
      <c r="J10" s="111"/>
      <c r="K10" s="111"/>
      <c r="M10" s="100"/>
      <c r="N10" s="100"/>
    </row>
    <row r="11" spans="1:15" ht="15" customHeight="1" x14ac:dyDescent="0.3">
      <c r="A11" s="8"/>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4" customHeight="1" x14ac:dyDescent="0.3">
      <c r="A13" s="13">
        <v>40</v>
      </c>
      <c r="B13" s="94" t="str">
        <f>'Data 3 Table'!AP3</f>
        <v>Per cent of dwellings which are owned or being purchased by their occupants, 2021</v>
      </c>
      <c r="C13" s="94"/>
      <c r="D13" s="94"/>
      <c r="E13" s="94"/>
      <c r="F13" s="94"/>
      <c r="G13" s="116">
        <f>VLOOKUP($G$11,'Data 3 Table'!$A$4:$CW$84,2+$A13)</f>
        <v>62.528154265618213</v>
      </c>
      <c r="H13" s="116"/>
      <c r="I13" s="14"/>
      <c r="J13" s="117">
        <f>VLOOKUP($J$11,'Data 3 Table'!$A$4:$CW$84,2+$A13)</f>
        <v>67.72109282998936</v>
      </c>
      <c r="K13" s="117"/>
      <c r="M13" s="19">
        <f t="shared" ref="M13:M19" si="0">(G13-J13)/J13*100</f>
        <v>-7.6681257601789978</v>
      </c>
      <c r="N13" s="6"/>
      <c r="O13" s="6"/>
    </row>
    <row r="14" spans="1:15" ht="24" customHeight="1" x14ac:dyDescent="0.3">
      <c r="A14" s="13">
        <v>41</v>
      </c>
      <c r="B14" s="102" t="str">
        <f>'Data 3 Table'!AQ3</f>
        <v>Per cent of dwellings which are rented from the government, co-operatives or the church, 2021</v>
      </c>
      <c r="C14" s="102"/>
      <c r="D14" s="102"/>
      <c r="E14" s="102"/>
      <c r="F14" s="102"/>
      <c r="G14" s="114">
        <f>VLOOKUP($G$11,'Data 3 Table'!$A$4:$CW$84,2+$A14)</f>
        <v>3.8823250484055793</v>
      </c>
      <c r="H14" s="114"/>
      <c r="I14" s="14"/>
      <c r="J14" s="115">
        <f>VLOOKUP($J$11,'Data 3 Table'!$A$4:$CW$84,2+$A14)</f>
        <v>2.3748066954932519</v>
      </c>
      <c r="K14" s="115"/>
      <c r="M14" s="18">
        <f t="shared" si="0"/>
        <v>63.479623658346348</v>
      </c>
      <c r="N14" s="6"/>
      <c r="O14" s="6"/>
    </row>
    <row r="15" spans="1:15" ht="29.25" customHeight="1" x14ac:dyDescent="0.3">
      <c r="A15" s="13">
        <v>39</v>
      </c>
      <c r="B15" s="94" t="str">
        <f>'Data 3 Table'!AO3</f>
        <v>Per cent of renting households, living in acute financial hardship, 2021</v>
      </c>
      <c r="C15" s="94"/>
      <c r="D15" s="94"/>
      <c r="E15" s="94"/>
      <c r="F15" s="94"/>
      <c r="G15" s="116">
        <f>VLOOKUP($G$11,'Data 3 Table'!$A$4:$CW$84,2+$A15)</f>
        <v>21.121839781538331</v>
      </c>
      <c r="H15" s="116"/>
      <c r="I15" s="14"/>
      <c r="J15" s="117">
        <f>VLOOKUP($J$11,'Data 3 Table'!$A$4:$CW$84,2+$A15)</f>
        <v>0</v>
      </c>
      <c r="K15" s="117"/>
      <c r="M15" s="19" t="e">
        <f t="shared" si="0"/>
        <v>#DIV/0!</v>
      </c>
      <c r="N15" s="6"/>
      <c r="O15" s="6"/>
    </row>
    <row r="16" spans="1:15" ht="24" customHeight="1" x14ac:dyDescent="0.3">
      <c r="A16" s="13">
        <v>42</v>
      </c>
      <c r="B16" s="102" t="str">
        <f>'Data 3 Table'!AR3</f>
        <v>Per cent of private dwellings which are overcrowded, 2021</v>
      </c>
      <c r="C16" s="102"/>
      <c r="D16" s="102"/>
      <c r="E16" s="102"/>
      <c r="F16" s="102"/>
      <c r="G16" s="114">
        <f>VLOOKUP($G$11,'Data 3 Table'!$A$4:$CW$84,2+$A16)</f>
        <v>1.2715122124312497</v>
      </c>
      <c r="H16" s="114"/>
      <c r="I16" s="14"/>
      <c r="J16" s="115">
        <f>VLOOKUP($J$11,'Data 3 Table'!$A$4:$CW$84,2+$A16)</f>
        <v>0.27050925647492075</v>
      </c>
      <c r="K16" s="115"/>
      <c r="M16" s="18">
        <f t="shared" si="0"/>
        <v>370.04388278636713</v>
      </c>
      <c r="N16" s="6"/>
      <c r="O16" s="6"/>
    </row>
    <row r="17" spans="1:16" ht="24" customHeight="1" x14ac:dyDescent="0.3">
      <c r="A17" s="13">
        <v>97</v>
      </c>
      <c r="B17" s="94" t="str">
        <f>'Data 3 Table'!CU3</f>
        <v>Per cent of dwellings for rent, which are affordable to Centrelink recipients, March 2023</v>
      </c>
      <c r="C17" s="94"/>
      <c r="D17" s="94"/>
      <c r="E17" s="94"/>
      <c r="F17" s="94"/>
      <c r="G17" s="109">
        <f>VLOOKUP($G$11,'Data 3 Table'!$A$4:$CW$84,2+$A17)</f>
        <v>6.3E-2</v>
      </c>
      <c r="H17" s="109"/>
      <c r="I17" s="14"/>
      <c r="J17" s="110">
        <f>VLOOKUP($J$11,'Data 3 Table'!$A$4:$CW$84,2+$A17)</f>
        <v>6.5000000000000002E-2</v>
      </c>
      <c r="K17" s="110"/>
      <c r="M17" s="19">
        <f t="shared" si="0"/>
        <v>-3.0769230769230793</v>
      </c>
      <c r="N17" s="6"/>
      <c r="O17" s="6"/>
      <c r="P17" s="51"/>
    </row>
    <row r="18" spans="1:16" ht="24" customHeight="1" x14ac:dyDescent="0.3">
      <c r="A18" s="13">
        <v>98</v>
      </c>
      <c r="B18" s="102" t="str">
        <f>'Data 3 Table'!CV3</f>
        <v>Number of year's median household income required to purchase an average house, 2021</v>
      </c>
      <c r="C18" s="102"/>
      <c r="D18" s="102"/>
      <c r="E18" s="102"/>
      <c r="F18" s="102"/>
      <c r="G18" s="114">
        <f>VLOOKUP($G$11,'Data 3 Table'!$A$4:$CW$84,2+$A18)</f>
        <v>10.323468685478321</v>
      </c>
      <c r="H18" s="114"/>
      <c r="I18" s="14"/>
      <c r="J18" s="115">
        <f>VLOOKUP($J$11,'Data 3 Table'!$A$4:$CW$84,2+$A18)</f>
        <v>8.8516165580868371</v>
      </c>
      <c r="K18" s="115"/>
      <c r="M18" s="18">
        <f t="shared" si="0"/>
        <v>16.628060171074626</v>
      </c>
      <c r="N18" s="6"/>
      <c r="O18" s="6"/>
    </row>
    <row r="19" spans="1:16" ht="24" customHeight="1" x14ac:dyDescent="0.3">
      <c r="A19" s="13">
        <v>99</v>
      </c>
      <c r="B19" s="94" t="str">
        <f>'Data 3 Table'!CW3</f>
        <v>Number of homeless persons per 1,000 population 2021</v>
      </c>
      <c r="C19" s="94"/>
      <c r="D19" s="94"/>
      <c r="E19" s="94"/>
      <c r="F19" s="94"/>
      <c r="G19" s="124">
        <f>VLOOKUP($G$11,'Data 3 Table'!$A$4:$CW$84,2+$A19)</f>
        <v>14.955090482722003</v>
      </c>
      <c r="H19" s="124"/>
      <c r="I19" s="14"/>
      <c r="J19" s="110">
        <f>VLOOKUP($J$11,'Data 3 Table'!$A$4:$CW$84,2+$A19)</f>
        <v>4.8990498212785143</v>
      </c>
      <c r="K19" s="110"/>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366" priority="21" stopIfTrue="1">
      <formula>J8=2</formula>
    </cfRule>
  </conditionalFormatting>
  <conditionalFormatting sqref="M13 M15">
    <cfRule type="expression" dxfId="365" priority="20" stopIfTrue="1">
      <formula>$J$8=1</formula>
    </cfRule>
  </conditionalFormatting>
  <conditionalFormatting sqref="M14 M16">
    <cfRule type="expression" dxfId="364" priority="19" stopIfTrue="1">
      <formula>$J$8=1</formula>
    </cfRule>
  </conditionalFormatting>
  <conditionalFormatting sqref="M17 M19">
    <cfRule type="expression" dxfId="363" priority="18" stopIfTrue="1">
      <formula>$J$8=1</formula>
    </cfRule>
  </conditionalFormatting>
  <conditionalFormatting sqref="M18">
    <cfRule type="expression" dxfId="362" priority="17" stopIfTrue="1">
      <formula>$J$8=1</formula>
    </cfRule>
  </conditionalFormatting>
  <conditionalFormatting sqref="M17 M19">
    <cfRule type="expression" dxfId="361" priority="16" stopIfTrue="1">
      <formula>$J$8=1</formula>
    </cfRule>
  </conditionalFormatting>
  <conditionalFormatting sqref="M18">
    <cfRule type="expression" dxfId="360" priority="15" stopIfTrue="1">
      <formula>$J$8=1</formula>
    </cfRule>
  </conditionalFormatting>
  <conditionalFormatting sqref="M16 M13:M14">
    <cfRule type="expression" dxfId="359" priority="14" stopIfTrue="1">
      <formula>$J$8=1</formula>
    </cfRule>
  </conditionalFormatting>
  <conditionalFormatting sqref="M15 M17">
    <cfRule type="expression" dxfId="358" priority="13" stopIfTrue="1">
      <formula>$J$8=1</formula>
    </cfRule>
  </conditionalFormatting>
  <conditionalFormatting sqref="M15">
    <cfRule type="expression" dxfId="357" priority="12" stopIfTrue="1">
      <formula>$J$8=1</formula>
    </cfRule>
  </conditionalFormatting>
  <conditionalFormatting sqref="M14 M16">
    <cfRule type="expression" dxfId="356" priority="11" stopIfTrue="1">
      <formula>$J$8=1</formula>
    </cfRule>
  </conditionalFormatting>
  <conditionalFormatting sqref="M17">
    <cfRule type="expression" dxfId="355" priority="10" stopIfTrue="1">
      <formula>$J$8=1</formula>
    </cfRule>
  </conditionalFormatting>
  <conditionalFormatting sqref="M13:M17">
    <cfRule type="expression" dxfId="354" priority="9" stopIfTrue="1">
      <formula>$N$1=2</formula>
    </cfRule>
  </conditionalFormatting>
  <conditionalFormatting sqref="M17">
    <cfRule type="expression" dxfId="353" priority="8" stopIfTrue="1">
      <formula>$N$1=2</formula>
    </cfRule>
  </conditionalFormatting>
  <conditionalFormatting sqref="M18">
    <cfRule type="expression" dxfId="352" priority="7" stopIfTrue="1">
      <formula>$J$8=1</formula>
    </cfRule>
  </conditionalFormatting>
  <conditionalFormatting sqref="M18">
    <cfRule type="expression" dxfId="351" priority="6" stopIfTrue="1">
      <formula>$J$8=1</formula>
    </cfRule>
  </conditionalFormatting>
  <conditionalFormatting sqref="M19">
    <cfRule type="expression" dxfId="350" priority="5" stopIfTrue="1">
      <formula>$J$8=1</formula>
    </cfRule>
  </conditionalFormatting>
  <conditionalFormatting sqref="M18">
    <cfRule type="expression" dxfId="349" priority="4" stopIfTrue="1">
      <formula>$J$8=1</formula>
    </cfRule>
  </conditionalFormatting>
  <conditionalFormatting sqref="M19">
    <cfRule type="expression" dxfId="348" priority="3" stopIfTrue="1">
      <formula>$J$8=1</formula>
    </cfRule>
  </conditionalFormatting>
  <conditionalFormatting sqref="M18:M19">
    <cfRule type="expression" dxfId="347" priority="2" stopIfTrue="1">
      <formula>$N$1=2</formula>
    </cfRule>
  </conditionalFormatting>
  <conditionalFormatting sqref="M19">
    <cfRule type="expression" dxfId="346" priority="1" stopIfTrue="1">
      <formula>$N$1=2</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74</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c r="O11" s="51"/>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52</v>
      </c>
      <c r="B13" s="94" t="str">
        <f>'Data 3 Table'!BB3</f>
        <v>% persons obese, 2020</v>
      </c>
      <c r="C13" s="94"/>
      <c r="D13" s="94"/>
      <c r="E13" s="94"/>
      <c r="F13" s="94"/>
      <c r="G13" s="95">
        <f>VLOOKUP($G$11,'Data 3 Table'!$A$4:$CW$84,2+$A13)</f>
        <v>18.830179999999999</v>
      </c>
      <c r="H13" s="95"/>
      <c r="I13" s="14"/>
      <c r="J13" s="96">
        <f>VLOOKUP($J$11,'Data 3 Table'!$A$4:$CW$84,2+$A13)</f>
        <v>18.20337864516129</v>
      </c>
      <c r="K13" s="96"/>
      <c r="M13" s="19">
        <f t="shared" ref="M13:M24" si="0">(G13-J13)/J13*100</f>
        <v>3.4433242699443629</v>
      </c>
      <c r="N13" s="6"/>
      <c r="O13" s="6"/>
    </row>
    <row r="14" spans="1:15" ht="23.25" customHeight="1" x14ac:dyDescent="0.3">
      <c r="A14" s="13">
        <v>53</v>
      </c>
      <c r="B14" s="102" t="str">
        <f>'Data 3 Table'!BC3</f>
        <v>Self-reported health status - Fair/poor, 2020</v>
      </c>
      <c r="C14" s="102"/>
      <c r="D14" s="102"/>
      <c r="E14" s="102"/>
      <c r="F14" s="102"/>
      <c r="G14" s="106">
        <f>VLOOKUP($G$11,'Data 3 Table'!$A$4:$CW$84,2+$A14)</f>
        <v>22.315539999999999</v>
      </c>
      <c r="H14" s="106"/>
      <c r="I14" s="14"/>
      <c r="J14" s="99">
        <f>VLOOKUP($J$11,'Data 3 Table'!$A$4:$CW$84,2+$A14)</f>
        <v>20.999876129032256</v>
      </c>
      <c r="K14" s="99"/>
      <c r="M14" s="18">
        <f t="shared" si="0"/>
        <v>6.2651030076736616</v>
      </c>
      <c r="N14" s="6"/>
      <c r="O14" s="6"/>
    </row>
    <row r="15" spans="1:15" ht="23.25" customHeight="1" x14ac:dyDescent="0.3">
      <c r="A15" s="13">
        <v>54</v>
      </c>
      <c r="B15" s="94" t="str">
        <f>'Data 3 Table'!BD3</f>
        <v>Sedentary level of activity, 2017</v>
      </c>
      <c r="C15" s="94"/>
      <c r="D15" s="94"/>
      <c r="E15" s="94"/>
      <c r="F15" s="94"/>
      <c r="G15" s="95">
        <f>VLOOKUP($G$11,'Data 3 Table'!$A$4:$CW$84,2+$A15)</f>
        <v>7.06</v>
      </c>
      <c r="H15" s="95"/>
      <c r="I15" s="14"/>
      <c r="J15" s="96">
        <f>VLOOKUP($J$11,'Data 3 Table'!$A$4:$CW$84,2+$A15)</f>
        <v>2.6667741935483877</v>
      </c>
      <c r="K15" s="96"/>
      <c r="M15" s="19">
        <f t="shared" si="0"/>
        <v>164.73932502721658</v>
      </c>
      <c r="N15" s="6"/>
      <c r="O15" s="6"/>
    </row>
    <row r="16" spans="1:15" ht="23.25" customHeight="1" x14ac:dyDescent="0.3">
      <c r="A16" s="13">
        <v>55</v>
      </c>
      <c r="B16" s="102" t="str">
        <f>'Data 3 Table'!BE3</f>
        <v>Met fruit consumption guidelines, 2017</v>
      </c>
      <c r="C16" s="102"/>
      <c r="D16" s="102"/>
      <c r="E16" s="102"/>
      <c r="F16" s="102"/>
      <c r="G16" s="106">
        <f>VLOOKUP($G$11,'Data 3 Table'!$A$4:$CW$84,2+$A16)</f>
        <v>37.92</v>
      </c>
      <c r="H16" s="106"/>
      <c r="I16" s="14"/>
      <c r="J16" s="99">
        <f>VLOOKUP($J$11,'Data 3 Table'!$A$4:$CW$84,2+$A16)</f>
        <v>43.82322580645161</v>
      </c>
      <c r="K16" s="99"/>
      <c r="M16" s="18">
        <f t="shared" si="0"/>
        <v>-13.470541471601438</v>
      </c>
      <c r="N16" s="6"/>
      <c r="O16" s="6"/>
    </row>
    <row r="17" spans="1:15" ht="23.25" customHeight="1" x14ac:dyDescent="0.3">
      <c r="A17" s="13">
        <v>56</v>
      </c>
      <c r="B17" s="94" t="str">
        <f>'Data 3 Table'!BF3</f>
        <v>Met vegetable consumption guidelines , 2017</v>
      </c>
      <c r="C17" s="94"/>
      <c r="D17" s="94"/>
      <c r="E17" s="94"/>
      <c r="F17" s="94"/>
      <c r="G17" s="95">
        <f>VLOOKUP($G$11,'Data 3 Table'!$A$4:$CW$84,2+$A17)</f>
        <v>1.49</v>
      </c>
      <c r="H17" s="95"/>
      <c r="I17" s="14"/>
      <c r="J17" s="96">
        <f>VLOOKUP($J$11,'Data 3 Table'!$A$4:$CW$84,2+$A17)</f>
        <v>5.2574193548387083</v>
      </c>
      <c r="K17" s="96"/>
      <c r="M17" s="19">
        <f t="shared" si="0"/>
        <v>-71.659099275984772</v>
      </c>
      <c r="N17" s="6"/>
      <c r="O17" s="6"/>
    </row>
    <row r="18" spans="1:15" ht="23.25" customHeight="1" x14ac:dyDescent="0.3">
      <c r="A18" s="13">
        <v>57</v>
      </c>
      <c r="B18" s="102" t="str">
        <f>'Data 3 Table'!BG3</f>
        <v>Consume take-away meals, or snacks, more than once a week, 2017</v>
      </c>
      <c r="C18" s="102"/>
      <c r="D18" s="102"/>
      <c r="E18" s="102"/>
      <c r="F18" s="102"/>
      <c r="G18" s="106">
        <f>VLOOKUP($G$11,'Data 3 Table'!$A$4:$CW$84,2+$A18)</f>
        <v>15.3</v>
      </c>
      <c r="H18" s="106"/>
      <c r="I18" s="14"/>
      <c r="J18" s="99">
        <f>VLOOKUP($J$11,'Data 3 Table'!$A$4:$CW$84,2+$A18)</f>
        <v>15.21935483870968</v>
      </c>
      <c r="K18" s="99"/>
      <c r="M18" s="18">
        <f t="shared" si="0"/>
        <v>0.52988554472232474</v>
      </c>
      <c r="N18" s="6"/>
      <c r="O18" s="6"/>
    </row>
    <row r="19" spans="1:15" ht="23.25" customHeight="1" x14ac:dyDescent="0.3">
      <c r="A19" s="13">
        <v>58</v>
      </c>
      <c r="B19" s="94" t="str">
        <f>'Data 3 Table'!BH3</f>
        <v>Consume sugar-sweetened soft drinks daily, 2017</v>
      </c>
      <c r="C19" s="94"/>
      <c r="D19" s="94"/>
      <c r="E19" s="94"/>
      <c r="F19" s="94"/>
      <c r="G19" s="95">
        <f>VLOOKUP($G$11,'Data 3 Table'!$A$4:$CW$84,2+$A19)</f>
        <v>11.3</v>
      </c>
      <c r="H19" s="95"/>
      <c r="I19" s="14"/>
      <c r="J19" s="96">
        <f>VLOOKUP($J$11,'Data 3 Table'!$A$4:$CW$84,2+$A19)</f>
        <v>9.1193548387096754</v>
      </c>
      <c r="K19" s="96"/>
      <c r="M19" s="19">
        <f t="shared" si="0"/>
        <v>23.912274495932117</v>
      </c>
      <c r="N19" s="6"/>
      <c r="O19" s="6"/>
    </row>
    <row r="20" spans="1:15" ht="23.25" customHeight="1" x14ac:dyDescent="0.3">
      <c r="A20" s="13">
        <v>59</v>
      </c>
      <c r="B20" s="102" t="str">
        <f>'Data 3 Table'!BI3</f>
        <v>Increased lifetime risk of alcohol-related harm, 2017</v>
      </c>
      <c r="C20" s="102"/>
      <c r="D20" s="102"/>
      <c r="E20" s="102"/>
      <c r="F20" s="102"/>
      <c r="G20" s="106">
        <f>VLOOKUP($G$11,'Data 3 Table'!$A$4:$CW$84,2+$A20)</f>
        <v>41.31</v>
      </c>
      <c r="H20" s="106"/>
      <c r="I20" s="14"/>
      <c r="J20" s="99">
        <f>VLOOKUP($J$11,'Data 3 Table'!$A$4:$CW$84,2+$A20)</f>
        <v>59.627741935483883</v>
      </c>
      <c r="K20" s="99"/>
      <c r="M20" s="18">
        <f t="shared" si="0"/>
        <v>-30.72016705798341</v>
      </c>
      <c r="N20" s="6"/>
      <c r="O20" s="6"/>
    </row>
    <row r="21" spans="1:15" ht="23.25" customHeight="1" x14ac:dyDescent="0.3">
      <c r="A21" s="13">
        <v>60</v>
      </c>
      <c r="B21" s="94" t="str">
        <f>'Data 3 Table'!BJ3</f>
        <v>Current smokers, 2020</v>
      </c>
      <c r="C21" s="94"/>
      <c r="D21" s="94"/>
      <c r="E21" s="94"/>
      <c r="F21" s="94"/>
      <c r="G21" s="95">
        <f>VLOOKUP($G$11,'Data 3 Table'!$A$4:$CW$84,2+$A21)</f>
        <v>13.05475</v>
      </c>
      <c r="H21" s="95"/>
      <c r="I21" s="14"/>
      <c r="J21" s="96">
        <f>VLOOKUP($J$11,'Data 3 Table'!$A$4:$CW$84,2+$A21)</f>
        <v>11.202443161290322</v>
      </c>
      <c r="K21" s="96"/>
      <c r="M21" s="19">
        <f t="shared" si="0"/>
        <v>16.534847015428422</v>
      </c>
      <c r="N21" s="6"/>
      <c r="O21" s="6"/>
    </row>
    <row r="22" spans="1:15" ht="23.25" customHeight="1" x14ac:dyDescent="0.3">
      <c r="A22" s="13">
        <v>61</v>
      </c>
      <c r="B22" s="102" t="str">
        <f>'Data 3 Table'!BK3</f>
        <v>Low/medium satisfaction with life, 2020</v>
      </c>
      <c r="C22" s="102"/>
      <c r="D22" s="102"/>
      <c r="E22" s="102"/>
      <c r="F22" s="102"/>
      <c r="G22" s="106">
        <f>VLOOKUP($G$11,'Data 3 Table'!$A$4:$CW$84,2+$A22)</f>
        <v>26.29692</v>
      </c>
      <c r="H22" s="106"/>
      <c r="I22" s="14"/>
      <c r="J22" s="99">
        <f>VLOOKUP($J$11,'Data 3 Table'!$A$4:$CW$84,2+$A22)</f>
        <v>22.516987096774194</v>
      </c>
      <c r="K22" s="99"/>
      <c r="M22" s="18">
        <f t="shared" si="0"/>
        <v>16.787027886902877</v>
      </c>
      <c r="N22" s="6"/>
      <c r="O22" s="6"/>
    </row>
    <row r="23" spans="1:15" ht="23.25" customHeight="1" x14ac:dyDescent="0.3">
      <c r="A23" s="13">
        <v>62</v>
      </c>
      <c r="B23" s="94" t="str">
        <f>'Data 3 Table'!BL3</f>
        <v>High/very high levels of psychological distress, 2020</v>
      </c>
      <c r="C23" s="94"/>
      <c r="D23" s="94"/>
      <c r="E23" s="94"/>
      <c r="F23" s="94"/>
      <c r="G23" s="95">
        <f>VLOOKUP($G$11,'Data 3 Table'!$A$4:$CW$84,2+$A23)</f>
        <v>23.96686</v>
      </c>
      <c r="H23" s="95"/>
      <c r="I23" s="14"/>
      <c r="J23" s="96">
        <f>VLOOKUP($J$11,'Data 3 Table'!$A$4:$CW$84,2+$A23)</f>
        <v>23.298888064516131</v>
      </c>
      <c r="K23" s="96"/>
      <c r="M23" s="19">
        <f t="shared" si="0"/>
        <v>2.8669691602200587</v>
      </c>
      <c r="N23" s="6"/>
      <c r="O23" s="6"/>
    </row>
    <row r="24" spans="1:15" ht="23.25" customHeight="1" x14ac:dyDescent="0.3">
      <c r="A24" s="13">
        <v>76</v>
      </c>
      <c r="B24" s="102" t="str">
        <f>'Data 3 Table'!BZ3</f>
        <v>Ran out of money to buy food during the past 12 months, 2020</v>
      </c>
      <c r="C24" s="102"/>
      <c r="D24" s="102"/>
      <c r="E24" s="102"/>
      <c r="F24" s="102"/>
      <c r="G24" s="106">
        <f>VLOOKUP($G$11,'Data 3 Table'!$A$4:$CW$84,2+$A24)</f>
        <v>12.93365</v>
      </c>
      <c r="H24" s="106"/>
      <c r="I24" s="14"/>
      <c r="J24" s="99">
        <f>VLOOKUP($J$11,'Data 3 Table'!$A$4:$CW$84,2+$A24)</f>
        <v>5.8868295862068969</v>
      </c>
      <c r="K24" s="99"/>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345" priority="65" stopIfTrue="1">
      <formula>J8=2</formula>
    </cfRule>
  </conditionalFormatting>
  <conditionalFormatting sqref="M13 M15 M17 M19 M21 M23">
    <cfRule type="expression" dxfId="344" priority="64" stopIfTrue="1">
      <formula>$J$8=1</formula>
    </cfRule>
  </conditionalFormatting>
  <conditionalFormatting sqref="M14 M16 M18 M20 M22">
    <cfRule type="expression" dxfId="343" priority="63" stopIfTrue="1">
      <formula>$J$8=1</formula>
    </cfRule>
  </conditionalFormatting>
  <conditionalFormatting sqref="M23">
    <cfRule type="expression" dxfId="342" priority="62" stopIfTrue="1">
      <formula>$J$8=1</formula>
    </cfRule>
  </conditionalFormatting>
  <conditionalFormatting sqref="M13 M15">
    <cfRule type="expression" dxfId="341" priority="61" stopIfTrue="1">
      <formula>$J$8=1</formula>
    </cfRule>
  </conditionalFormatting>
  <conditionalFormatting sqref="M14 M16">
    <cfRule type="expression" dxfId="340" priority="60" stopIfTrue="1">
      <formula>$J$8=1</formula>
    </cfRule>
  </conditionalFormatting>
  <conditionalFormatting sqref="M17 M19">
    <cfRule type="expression" dxfId="339" priority="59" stopIfTrue="1">
      <formula>$J$8=1</formula>
    </cfRule>
  </conditionalFormatting>
  <conditionalFormatting sqref="M18">
    <cfRule type="expression" dxfId="338" priority="58" stopIfTrue="1">
      <formula>$J$8=1</formula>
    </cfRule>
  </conditionalFormatting>
  <conditionalFormatting sqref="M17 M19">
    <cfRule type="expression" dxfId="337" priority="57" stopIfTrue="1">
      <formula>$J$8=1</formula>
    </cfRule>
  </conditionalFormatting>
  <conditionalFormatting sqref="M18">
    <cfRule type="expression" dxfId="336" priority="56" stopIfTrue="1">
      <formula>$J$8=1</formula>
    </cfRule>
  </conditionalFormatting>
  <conditionalFormatting sqref="M16 M13:M14">
    <cfRule type="expression" dxfId="335" priority="55" stopIfTrue="1">
      <formula>$J$8=1</formula>
    </cfRule>
  </conditionalFormatting>
  <conditionalFormatting sqref="M15 M17">
    <cfRule type="expression" dxfId="334" priority="54" stopIfTrue="1">
      <formula>$J$8=1</formula>
    </cfRule>
  </conditionalFormatting>
  <conditionalFormatting sqref="M15">
    <cfRule type="expression" dxfId="333" priority="53" stopIfTrue="1">
      <formula>$J$8=1</formula>
    </cfRule>
  </conditionalFormatting>
  <conditionalFormatting sqref="M14 M16">
    <cfRule type="expression" dxfId="332" priority="52" stopIfTrue="1">
      <formula>$J$8=1</formula>
    </cfRule>
  </conditionalFormatting>
  <conditionalFormatting sqref="M17">
    <cfRule type="expression" dxfId="331" priority="51" stopIfTrue="1">
      <formula>$J$8=1</formula>
    </cfRule>
  </conditionalFormatting>
  <conditionalFormatting sqref="M13:M17">
    <cfRule type="expression" dxfId="330" priority="50" stopIfTrue="1">
      <formula>$N$1=2</formula>
    </cfRule>
  </conditionalFormatting>
  <conditionalFormatting sqref="M17">
    <cfRule type="expression" dxfId="329" priority="49" stopIfTrue="1">
      <formula>$N$1=2</formula>
    </cfRule>
  </conditionalFormatting>
  <conditionalFormatting sqref="M18">
    <cfRule type="expression" dxfId="328" priority="48" stopIfTrue="1">
      <formula>$J$8=1</formula>
    </cfRule>
  </conditionalFormatting>
  <conditionalFormatting sqref="M18">
    <cfRule type="expression" dxfId="327" priority="47" stopIfTrue="1">
      <formula>$J$8=1</formula>
    </cfRule>
  </conditionalFormatting>
  <conditionalFormatting sqref="M19">
    <cfRule type="expression" dxfId="326" priority="46" stopIfTrue="1">
      <formula>$J$8=1</formula>
    </cfRule>
  </conditionalFormatting>
  <conditionalFormatting sqref="M18">
    <cfRule type="expression" dxfId="325" priority="45" stopIfTrue="1">
      <formula>$J$8=1</formula>
    </cfRule>
  </conditionalFormatting>
  <conditionalFormatting sqref="M19">
    <cfRule type="expression" dxfId="324" priority="44" stopIfTrue="1">
      <formula>$J$8=1</formula>
    </cfRule>
  </conditionalFormatting>
  <conditionalFormatting sqref="M18:M19">
    <cfRule type="expression" dxfId="323" priority="43" stopIfTrue="1">
      <formula>$N$1=2</formula>
    </cfRule>
  </conditionalFormatting>
  <conditionalFormatting sqref="M19">
    <cfRule type="expression" dxfId="322" priority="42" stopIfTrue="1">
      <formula>$N$1=2</formula>
    </cfRule>
  </conditionalFormatting>
  <conditionalFormatting sqref="M20">
    <cfRule type="expression" dxfId="321" priority="41" stopIfTrue="1">
      <formula>$J$8=1</formula>
    </cfRule>
  </conditionalFormatting>
  <conditionalFormatting sqref="M21 M23">
    <cfRule type="expression" dxfId="320" priority="40" stopIfTrue="1">
      <formula>$J$8=1</formula>
    </cfRule>
  </conditionalFormatting>
  <conditionalFormatting sqref="M22">
    <cfRule type="expression" dxfId="319" priority="39" stopIfTrue="1">
      <formula>$J$8=1</formula>
    </cfRule>
  </conditionalFormatting>
  <conditionalFormatting sqref="M21 M23">
    <cfRule type="expression" dxfId="318" priority="38" stopIfTrue="1">
      <formula>$J$8=1</formula>
    </cfRule>
  </conditionalFormatting>
  <conditionalFormatting sqref="M22">
    <cfRule type="expression" dxfId="317" priority="37" stopIfTrue="1">
      <formula>$J$8=1</formula>
    </cfRule>
  </conditionalFormatting>
  <conditionalFormatting sqref="M20">
    <cfRule type="expression" dxfId="316" priority="36" stopIfTrue="1">
      <formula>$J$8=1</formula>
    </cfRule>
  </conditionalFormatting>
  <conditionalFormatting sqref="M21">
    <cfRule type="expression" dxfId="315" priority="35" stopIfTrue="1">
      <formula>$J$8=1</formula>
    </cfRule>
  </conditionalFormatting>
  <conditionalFormatting sqref="M20">
    <cfRule type="expression" dxfId="314" priority="34" stopIfTrue="1">
      <formula>$J$8=1</formula>
    </cfRule>
  </conditionalFormatting>
  <conditionalFormatting sqref="M21">
    <cfRule type="expression" dxfId="313" priority="33" stopIfTrue="1">
      <formula>$J$8=1</formula>
    </cfRule>
  </conditionalFormatting>
  <conditionalFormatting sqref="M20:M21">
    <cfRule type="expression" dxfId="312" priority="32" stopIfTrue="1">
      <formula>$N$1=2</formula>
    </cfRule>
  </conditionalFormatting>
  <conditionalFormatting sqref="M21">
    <cfRule type="expression" dxfId="311" priority="31" stopIfTrue="1">
      <formula>$N$1=2</formula>
    </cfRule>
  </conditionalFormatting>
  <conditionalFormatting sqref="M22">
    <cfRule type="expression" dxfId="310" priority="30" stopIfTrue="1">
      <formula>$J$8=1</formula>
    </cfRule>
  </conditionalFormatting>
  <conditionalFormatting sqref="M22">
    <cfRule type="expression" dxfId="309" priority="29" stopIfTrue="1">
      <formula>$J$8=1</formula>
    </cfRule>
  </conditionalFormatting>
  <conditionalFormatting sqref="M23">
    <cfRule type="expression" dxfId="308" priority="28" stopIfTrue="1">
      <formula>$J$8=1</formula>
    </cfRule>
  </conditionalFormatting>
  <conditionalFormatting sqref="M22">
    <cfRule type="expression" dxfId="307" priority="27" stopIfTrue="1">
      <formula>$J$8=1</formula>
    </cfRule>
  </conditionalFormatting>
  <conditionalFormatting sqref="M23">
    <cfRule type="expression" dxfId="306" priority="26" stopIfTrue="1">
      <formula>$J$8=1</formula>
    </cfRule>
  </conditionalFormatting>
  <conditionalFormatting sqref="M22:M24">
    <cfRule type="expression" dxfId="305" priority="25" stopIfTrue="1">
      <formula>$N$1=2</formula>
    </cfRule>
  </conditionalFormatting>
  <conditionalFormatting sqref="M23">
    <cfRule type="expression" dxfId="304" priority="24" stopIfTrue="1">
      <formula>$N$1=2</formula>
    </cfRule>
  </conditionalFormatting>
  <conditionalFormatting sqref="M24">
    <cfRule type="expression" dxfId="303" priority="6" stopIfTrue="1">
      <formula>$J$8=1</formula>
    </cfRule>
  </conditionalFormatting>
  <conditionalFormatting sqref="M24">
    <cfRule type="expression" dxfId="302" priority="5" stopIfTrue="1">
      <formula>$J$8=1</formula>
    </cfRule>
  </conditionalFormatting>
  <conditionalFormatting sqref="M24">
    <cfRule type="expression" dxfId="301" priority="4" stopIfTrue="1">
      <formula>$J$8=1</formula>
    </cfRule>
  </conditionalFormatting>
  <conditionalFormatting sqref="M24">
    <cfRule type="expression" dxfId="300" priority="3" stopIfTrue="1">
      <formula>$J$8=1</formula>
    </cfRule>
  </conditionalFormatting>
  <conditionalFormatting sqref="M24">
    <cfRule type="expression" dxfId="299" priority="2" stopIfTrue="1">
      <formula>$J$8=1</formula>
    </cfRule>
  </conditionalFormatting>
  <conditionalFormatting sqref="M24">
    <cfRule type="expression" dxfId="298" priority="1"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73</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71</v>
      </c>
      <c r="B13" s="94" t="str">
        <f>'Data 3 Table'!BU3</f>
        <v>Child protection substantiations per 1,000 eligible pop</v>
      </c>
      <c r="C13" s="94"/>
      <c r="D13" s="94"/>
      <c r="E13" s="94"/>
      <c r="F13" s="94"/>
      <c r="G13" s="109" t="str">
        <f>VLOOKUP($G$11,'Data 3 Table'!$A$4:$CW$84,2+$A13)</f>
        <v>17.5</v>
      </c>
      <c r="H13" s="109"/>
      <c r="I13" s="14"/>
      <c r="J13" s="110" t="str">
        <f>VLOOKUP($J$11,'Data 3 Table'!$A$4:$CW$84,2+$A13)</f>
        <v>7.8</v>
      </c>
      <c r="K13" s="110"/>
      <c r="M13" s="19">
        <f t="shared" ref="M13:M18" si="0">(G13-J13)/J13*100</f>
        <v>124.35897435897436</v>
      </c>
      <c r="N13" s="6"/>
      <c r="O13" s="6"/>
      <c r="P13" s="8"/>
    </row>
    <row r="14" spans="1:17" ht="23.25" customHeight="1" x14ac:dyDescent="0.3">
      <c r="A14" s="13">
        <v>72</v>
      </c>
      <c r="B14" s="102" t="str">
        <f>'Data 3 Table'!BV3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c r="P14" s="8"/>
    </row>
    <row r="15" spans="1:17" ht="23.25" customHeight="1" x14ac:dyDescent="0.3">
      <c r="A15" s="13">
        <v>67</v>
      </c>
      <c r="B15" s="94" t="str">
        <f>'Data 3 Table'!BQ3</f>
        <v>Violent offence rate, per 100,000 pop., 2022/23</v>
      </c>
      <c r="C15" s="94"/>
      <c r="D15" s="94"/>
      <c r="E15" s="94"/>
      <c r="F15" s="94"/>
      <c r="G15" s="116">
        <f>VLOOKUP($G$11,'Data 3 Table'!$A$4:$CW$84,2+$A15)</f>
        <v>1865.7913105816212</v>
      </c>
      <c r="H15" s="116"/>
      <c r="I15" s="14"/>
      <c r="J15" s="117">
        <f>VLOOKUP($J$11,'Data 3 Table'!$A$4:$CW$84,2+$A15)</f>
        <v>1167</v>
      </c>
      <c r="K15" s="117"/>
      <c r="M15" s="19">
        <f t="shared" si="0"/>
        <v>59.87928968137286</v>
      </c>
      <c r="N15" s="6"/>
      <c r="O15" s="6"/>
      <c r="P15" s="8"/>
    </row>
    <row r="16" spans="1:17" ht="23.25" customHeight="1" x14ac:dyDescent="0.3">
      <c r="A16" s="13">
        <v>70</v>
      </c>
      <c r="B16" s="102" t="str">
        <f>'Data 3 Table'!BT3</f>
        <v>Violent offenders per 10,000 population, 2008/9</v>
      </c>
      <c r="C16" s="102"/>
      <c r="D16" s="102"/>
      <c r="E16" s="102"/>
      <c r="F16" s="102"/>
      <c r="G16" s="112">
        <f>VLOOKUP($G$11,'Data 3 Table'!$A$4:$CW$84,2+$A16)</f>
        <v>94.877205069686667</v>
      </c>
      <c r="H16" s="112"/>
      <c r="I16" s="14"/>
      <c r="J16" s="113">
        <f>VLOOKUP($J$11,'Data 3 Table'!$A$4:$CW$84,2+$A16)</f>
        <v>47.7</v>
      </c>
      <c r="K16" s="113"/>
      <c r="M16" s="18">
        <f t="shared" si="0"/>
        <v>98.903993856785462</v>
      </c>
      <c r="N16" s="6"/>
      <c r="O16" s="6"/>
      <c r="P16" s="8"/>
      <c r="Q16" s="51"/>
    </row>
    <row r="17" spans="1:16" ht="23.25" customHeight="1" x14ac:dyDescent="0.3">
      <c r="A17" s="13">
        <v>69</v>
      </c>
      <c r="B17" s="94" t="str">
        <f>'Data 3 Table'!BS3</f>
        <v>Per cent of people who do not feel safe alone in their area at night, 2015</v>
      </c>
      <c r="C17" s="94"/>
      <c r="D17" s="94"/>
      <c r="E17" s="94"/>
      <c r="F17" s="94"/>
      <c r="G17" s="116">
        <f>VLOOKUP($G$11,'Data 3 Table'!$A$4:$CW$84,2+$A17)</f>
        <v>63.7</v>
      </c>
      <c r="H17" s="116"/>
      <c r="I17" s="14"/>
      <c r="J17" s="117">
        <f>VLOOKUP($J$11,'Data 3 Table'!$A$4:$CW$84,2+$A17)</f>
        <v>44.5</v>
      </c>
      <c r="K17" s="117"/>
      <c r="M17" s="19">
        <f t="shared" si="0"/>
        <v>43.146067415730343</v>
      </c>
      <c r="N17" s="6"/>
      <c r="O17" s="6"/>
      <c r="P17" s="8"/>
    </row>
    <row r="18" spans="1:16" ht="23.25" customHeight="1" x14ac:dyDescent="0.3">
      <c r="A18" s="13">
        <v>68</v>
      </c>
      <c r="B18" s="102" t="str">
        <f>'Data 3 Table'!BR3</f>
        <v>Injuries and fatalities per 10,000 population, 2017</v>
      </c>
      <c r="C18" s="102"/>
      <c r="D18" s="102"/>
      <c r="E18" s="102"/>
      <c r="F18" s="102"/>
      <c r="G18" s="114">
        <f>VLOOKUP($G$11,'Data 3 Table'!$A$4:$CW$84,2+$A18)</f>
        <v>25.342983161537152</v>
      </c>
      <c r="H18" s="114"/>
      <c r="I18" s="14"/>
      <c r="J18" s="115">
        <f>VLOOKUP($J$11,'Data 3 Table'!$A$4:$CW$84,2+$A18)</f>
        <v>20.002238171078396</v>
      </c>
      <c r="K18" s="115"/>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97" priority="22" stopIfTrue="1">
      <formula>J8=2</formula>
    </cfRule>
  </conditionalFormatting>
  <conditionalFormatting sqref="M13 M15 M17">
    <cfRule type="expression" dxfId="296" priority="21" stopIfTrue="1">
      <formula>$J$8=1</formula>
    </cfRule>
  </conditionalFormatting>
  <conditionalFormatting sqref="M14 M16 M18">
    <cfRule type="expression" dxfId="295" priority="20" stopIfTrue="1">
      <formula>$J$8=1</formula>
    </cfRule>
  </conditionalFormatting>
  <conditionalFormatting sqref="M13 M15 M17">
    <cfRule type="expression" dxfId="294" priority="19" stopIfTrue="1">
      <formula>$J$8=1</formula>
    </cfRule>
  </conditionalFormatting>
  <conditionalFormatting sqref="M14 M16 M18">
    <cfRule type="expression" dxfId="293" priority="18" stopIfTrue="1">
      <formula>$J$8=1</formula>
    </cfRule>
  </conditionalFormatting>
  <conditionalFormatting sqref="M13 M15">
    <cfRule type="expression" dxfId="292" priority="17" stopIfTrue="1">
      <formula>$J$8=1</formula>
    </cfRule>
  </conditionalFormatting>
  <conditionalFormatting sqref="M14 M16">
    <cfRule type="expression" dxfId="291" priority="16" stopIfTrue="1">
      <formula>$J$8=1</formula>
    </cfRule>
  </conditionalFormatting>
  <conditionalFormatting sqref="M17">
    <cfRule type="expression" dxfId="290" priority="15" stopIfTrue="1">
      <formula>$J$8=1</formula>
    </cfRule>
  </conditionalFormatting>
  <conditionalFormatting sqref="M18">
    <cfRule type="expression" dxfId="289" priority="14" stopIfTrue="1">
      <formula>$J$8=1</formula>
    </cfRule>
  </conditionalFormatting>
  <conditionalFormatting sqref="M17">
    <cfRule type="expression" dxfId="288" priority="13" stopIfTrue="1">
      <formula>$J$8=1</formula>
    </cfRule>
  </conditionalFormatting>
  <conditionalFormatting sqref="M18">
    <cfRule type="expression" dxfId="287" priority="12" stopIfTrue="1">
      <formula>$J$8=1</formula>
    </cfRule>
  </conditionalFormatting>
  <conditionalFormatting sqref="M16 M13:M14">
    <cfRule type="expression" dxfId="286" priority="11" stopIfTrue="1">
      <formula>$J$8=1</formula>
    </cfRule>
  </conditionalFormatting>
  <conditionalFormatting sqref="M15 M17">
    <cfRule type="expression" dxfId="285" priority="10" stopIfTrue="1">
      <formula>$J$8=1</formula>
    </cfRule>
  </conditionalFormatting>
  <conditionalFormatting sqref="M15">
    <cfRule type="expression" dxfId="284" priority="9" stopIfTrue="1">
      <formula>$J$8=1</formula>
    </cfRule>
  </conditionalFormatting>
  <conditionalFormatting sqref="M14 M16">
    <cfRule type="expression" dxfId="283" priority="8" stopIfTrue="1">
      <formula>$J$8=1</formula>
    </cfRule>
  </conditionalFormatting>
  <conditionalFormatting sqref="M17">
    <cfRule type="expression" dxfId="282" priority="7" stopIfTrue="1">
      <formula>$J$8=1</formula>
    </cfRule>
  </conditionalFormatting>
  <conditionalFormatting sqref="M13:M17">
    <cfRule type="expression" dxfId="281" priority="6" stopIfTrue="1">
      <formula>$N$1=2</formula>
    </cfRule>
  </conditionalFormatting>
  <conditionalFormatting sqref="M17">
    <cfRule type="expression" dxfId="280" priority="5" stopIfTrue="1">
      <formula>$N$1=2</formula>
    </cfRule>
  </conditionalFormatting>
  <conditionalFormatting sqref="M18">
    <cfRule type="expression" dxfId="279" priority="4" stopIfTrue="1">
      <formula>$J$8=1</formula>
    </cfRule>
  </conditionalFormatting>
  <conditionalFormatting sqref="M18">
    <cfRule type="expression" dxfId="278" priority="3" stopIfTrue="1">
      <formula>$J$8=1</formula>
    </cfRule>
  </conditionalFormatting>
  <conditionalFormatting sqref="M18">
    <cfRule type="expression" dxfId="277" priority="2" stopIfTrue="1">
      <formula>$J$8=1</formula>
    </cfRule>
  </conditionalFormatting>
  <conditionalFormatting sqref="M18">
    <cfRule type="expression" dxfId="276"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72</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21</v>
      </c>
      <c r="B13" s="94" t="str">
        <f>'Data 3 Table'!W3</f>
        <v>Per cent of children who were presented for their 2-year key ages-and-stages visit, 2017</v>
      </c>
      <c r="C13" s="94"/>
      <c r="D13" s="94"/>
      <c r="E13" s="94"/>
      <c r="F13" s="94"/>
      <c r="G13" s="116">
        <f>VLOOKUP($G$11,'Data 3 Table'!$A$4:$CW$84,2+$A13)</f>
        <v>71.2</v>
      </c>
      <c r="H13" s="116"/>
      <c r="I13" s="14"/>
      <c r="J13" s="117">
        <f>VLOOKUP($J$11,'Data 3 Table'!$A$4:$CW$84,2+$A13)</f>
        <v>70</v>
      </c>
      <c r="K13" s="117"/>
      <c r="M13" s="19">
        <f t="shared" ref="M13:M18" si="0">(G13-J13)/J13*100</f>
        <v>1.7142857142857182</v>
      </c>
      <c r="N13" s="6"/>
      <c r="O13" s="6"/>
    </row>
    <row r="14" spans="1:15" ht="23.25" customHeight="1" x14ac:dyDescent="0.3">
      <c r="A14" s="13">
        <v>22</v>
      </c>
      <c r="B14" s="102" t="str">
        <f>'Data 3 Table'!X3</f>
        <v>Per cent of children fully breast feeding at 6 months, 2015/16</v>
      </c>
      <c r="C14" s="102"/>
      <c r="D14" s="102"/>
      <c r="E14" s="102"/>
      <c r="F14" s="102"/>
      <c r="G14" s="112">
        <f>VLOOKUP($G$11,'Data 3 Table'!$A$4:$CW$84,2+$A14)</f>
        <v>31.7</v>
      </c>
      <c r="H14" s="112"/>
      <c r="I14" s="14"/>
      <c r="J14" s="113">
        <f>VLOOKUP($J$11,'Data 3 Table'!$A$4:$CW$84,2+$A14)</f>
        <v>53</v>
      </c>
      <c r="K14" s="113"/>
      <c r="M14" s="18">
        <f t="shared" si="0"/>
        <v>-40.188679245283019</v>
      </c>
      <c r="N14" s="6"/>
      <c r="O14" s="6"/>
    </row>
    <row r="15" spans="1:15" ht="23.25" customHeight="1" x14ac:dyDescent="0.3">
      <c r="A15" s="13">
        <v>25</v>
      </c>
      <c r="B15" s="94" t="str">
        <f>'Data 3 Table'!AA3</f>
        <v xml:space="preserve"> Child protection investigations completed per 1,000 eligible pop., 2014</v>
      </c>
      <c r="C15" s="94"/>
      <c r="D15" s="94"/>
      <c r="E15" s="94"/>
      <c r="F15" s="94"/>
      <c r="G15" s="109">
        <f>VLOOKUP($G$11,'Data 3 Table'!$A$4:$CW$84,2+$A15)</f>
        <v>23.5</v>
      </c>
      <c r="H15" s="109"/>
      <c r="I15" s="14"/>
      <c r="J15" s="110">
        <f>VLOOKUP($J$11,'Data 3 Table'!$A$4:$CW$84,2+$A15)</f>
        <v>12.725806451612904</v>
      </c>
      <c r="K15" s="110"/>
      <c r="M15" s="19">
        <f t="shared" si="0"/>
        <v>84.664131812420777</v>
      </c>
      <c r="N15" s="6"/>
      <c r="O15" s="6"/>
    </row>
    <row r="16" spans="1:15" ht="23.25" customHeight="1" x14ac:dyDescent="0.3">
      <c r="A16" s="13">
        <v>24</v>
      </c>
      <c r="B16" s="102" t="str">
        <f>'Data 3 Table'!Z3</f>
        <v>Per cent prep pupils who had not attended pre-school before their first year at school: 2021</v>
      </c>
      <c r="C16" s="102"/>
      <c r="D16" s="102"/>
      <c r="E16" s="102"/>
      <c r="F16" s="102"/>
      <c r="G16" s="114">
        <f>VLOOKUP($G$11,'Data 3 Table'!$A$4:$CW$84,2+$A16)</f>
        <v>6.7</v>
      </c>
      <c r="H16" s="114"/>
      <c r="I16" s="14"/>
      <c r="J16" s="115">
        <f>VLOOKUP($J$11,'Data 3 Table'!$A$4:$CW$84,2+$A16)</f>
        <v>0</v>
      </c>
      <c r="K16" s="115"/>
      <c r="M16" s="18" t="e">
        <f t="shared" si="0"/>
        <v>#DIV/0!</v>
      </c>
      <c r="N16" s="6"/>
      <c r="O16" s="6"/>
    </row>
    <row r="17" spans="1:15" ht="23.25" customHeight="1" x14ac:dyDescent="0.3">
      <c r="A17" s="13">
        <v>23</v>
      </c>
      <c r="B17" s="94" t="str">
        <f>'Data 3 Table'!Y3</f>
        <v>Per cent of prep. pupils developmentally vulnerable in 1 or more domains, 2021</v>
      </c>
      <c r="C17" s="94"/>
      <c r="D17" s="94"/>
      <c r="E17" s="94"/>
      <c r="F17" s="94"/>
      <c r="G17" s="116">
        <f>VLOOKUP($G$11,'Data 3 Table'!$A$4:$CW$84,2+$A17)</f>
        <v>28.2</v>
      </c>
      <c r="H17" s="116"/>
      <c r="I17" s="14"/>
      <c r="J17" s="117">
        <f>VLOOKUP($J$11,'Data 3 Table'!$A$4:$CW$84,2+$A17)</f>
        <v>17.716129032258063</v>
      </c>
      <c r="K17" s="117"/>
      <c r="M17" s="19">
        <f t="shared" si="0"/>
        <v>59.17698470502549</v>
      </c>
      <c r="N17" s="6"/>
      <c r="O17" s="6"/>
    </row>
    <row r="18" spans="1:15" ht="28" customHeight="1" x14ac:dyDescent="0.3">
      <c r="A18" s="13">
        <v>103</v>
      </c>
      <c r="B18" s="102" t="str">
        <f>'Data 3 Table'!DA3</f>
        <v>Smoking during pregnancy 2012-14</v>
      </c>
      <c r="C18" s="102"/>
      <c r="D18" s="102"/>
      <c r="E18" s="102"/>
      <c r="F18" s="102"/>
      <c r="G18" s="114">
        <f>VLOOKUP($G$11,'Data 3 Table'!$A$4:$DA$84,2+$A18)</f>
        <v>11.367193057333902</v>
      </c>
      <c r="H18" s="114"/>
      <c r="I18" s="14"/>
      <c r="J18" s="115">
        <f>VLOOKUP($J$11,'Data 3 Table'!$A$4:$DA$84,2+$A18)</f>
        <v>11.2</v>
      </c>
      <c r="K18" s="115"/>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75" priority="27" stopIfTrue="1">
      <formula>J8=2</formula>
    </cfRule>
  </conditionalFormatting>
  <conditionalFormatting sqref="M13 M15 M17">
    <cfRule type="expression" dxfId="274" priority="26" stopIfTrue="1">
      <formula>$J$8=1</formula>
    </cfRule>
  </conditionalFormatting>
  <conditionalFormatting sqref="M14 M16">
    <cfRule type="expression" dxfId="273" priority="25" stopIfTrue="1">
      <formula>$J$8=1</formula>
    </cfRule>
  </conditionalFormatting>
  <conditionalFormatting sqref="M13 M15">
    <cfRule type="expression" dxfId="272" priority="24" stopIfTrue="1">
      <formula>$J$8=1</formula>
    </cfRule>
  </conditionalFormatting>
  <conditionalFormatting sqref="M14 M16">
    <cfRule type="expression" dxfId="271" priority="23" stopIfTrue="1">
      <formula>$J$8=1</formula>
    </cfRule>
  </conditionalFormatting>
  <conditionalFormatting sqref="M13 M15">
    <cfRule type="expression" dxfId="270" priority="22" stopIfTrue="1">
      <formula>$J$8=1</formula>
    </cfRule>
  </conditionalFormatting>
  <conditionalFormatting sqref="M14 M16">
    <cfRule type="expression" dxfId="269" priority="21" stopIfTrue="1">
      <formula>$J$8=1</formula>
    </cfRule>
  </conditionalFormatting>
  <conditionalFormatting sqref="M13 M15">
    <cfRule type="expression" dxfId="268" priority="20" stopIfTrue="1">
      <formula>$J$8=1</formula>
    </cfRule>
  </conditionalFormatting>
  <conditionalFormatting sqref="M14 M16">
    <cfRule type="expression" dxfId="267" priority="19" stopIfTrue="1">
      <formula>$J$8=1</formula>
    </cfRule>
  </conditionalFormatting>
  <conditionalFormatting sqref="M16 M13:M14">
    <cfRule type="expression" dxfId="266" priority="18" stopIfTrue="1">
      <formula>$J$8=1</formula>
    </cfRule>
  </conditionalFormatting>
  <conditionalFormatting sqref="M15">
    <cfRule type="expression" dxfId="265" priority="17" stopIfTrue="1">
      <formula>$J$8=1</formula>
    </cfRule>
  </conditionalFormatting>
  <conditionalFormatting sqref="M15">
    <cfRule type="expression" dxfId="264" priority="16" stopIfTrue="1">
      <formula>$J$8=1</formula>
    </cfRule>
  </conditionalFormatting>
  <conditionalFormatting sqref="M14 M16">
    <cfRule type="expression" dxfId="263" priority="15" stopIfTrue="1">
      <formula>$J$8=1</formula>
    </cfRule>
  </conditionalFormatting>
  <conditionalFormatting sqref="M13:M16">
    <cfRule type="expression" dxfId="262" priority="14" stopIfTrue="1">
      <formula>$N$1=2</formula>
    </cfRule>
  </conditionalFormatting>
  <conditionalFormatting sqref="M17">
    <cfRule type="expression" dxfId="261" priority="13" stopIfTrue="1">
      <formula>$J$8=1</formula>
    </cfRule>
  </conditionalFormatting>
  <conditionalFormatting sqref="M17">
    <cfRule type="expression" dxfId="260" priority="12" stopIfTrue="1">
      <formula>$J$8=1</formula>
    </cfRule>
  </conditionalFormatting>
  <conditionalFormatting sqref="M17">
    <cfRule type="expression" dxfId="259" priority="11" stopIfTrue="1">
      <formula>$J$8=1</formula>
    </cfRule>
  </conditionalFormatting>
  <conditionalFormatting sqref="M17">
    <cfRule type="expression" dxfId="258" priority="10" stopIfTrue="1">
      <formula>$J$8=1</formula>
    </cfRule>
  </conditionalFormatting>
  <conditionalFormatting sqref="M17">
    <cfRule type="expression" dxfId="257" priority="9" stopIfTrue="1">
      <formula>$J$8=1</formula>
    </cfRule>
  </conditionalFormatting>
  <conditionalFormatting sqref="M17">
    <cfRule type="expression" dxfId="256" priority="8" stopIfTrue="1">
      <formula>$N$1=2</formula>
    </cfRule>
  </conditionalFormatting>
  <conditionalFormatting sqref="M18">
    <cfRule type="expression" dxfId="255" priority="7" stopIfTrue="1">
      <formula>$J$8=1</formula>
    </cfRule>
  </conditionalFormatting>
  <conditionalFormatting sqref="M18">
    <cfRule type="expression" dxfId="254" priority="6" stopIfTrue="1">
      <formula>$J$8=1</formula>
    </cfRule>
  </conditionalFormatting>
  <conditionalFormatting sqref="M18">
    <cfRule type="expression" dxfId="253" priority="5" stopIfTrue="1">
      <formula>$J$8=1</formula>
    </cfRule>
  </conditionalFormatting>
  <conditionalFormatting sqref="M18">
    <cfRule type="expression" dxfId="252" priority="4" stopIfTrue="1">
      <formula>$J$8=1</formula>
    </cfRule>
  </conditionalFormatting>
  <conditionalFormatting sqref="M18">
    <cfRule type="expression" dxfId="251" priority="3" stopIfTrue="1">
      <formula>$J$8=1</formula>
    </cfRule>
  </conditionalFormatting>
  <conditionalFormatting sqref="M18">
    <cfRule type="expression" dxfId="250" priority="2" stopIfTrue="1">
      <formula>$J$8=1</formula>
    </cfRule>
  </conditionalFormatting>
  <conditionalFormatting sqref="M18">
    <cfRule type="expression" dxfId="249"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76</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8">
        <f t="shared" ref="M13:M15" si="0">IF(OR(G13="na",J13="na"),"",(G13-J13)/J13*100)</f>
        <v>89.54123868042177</v>
      </c>
      <c r="N13" s="6"/>
      <c r="O13" s="6"/>
    </row>
    <row r="14" spans="1:15" ht="23.25" customHeight="1" x14ac:dyDescent="0.3">
      <c r="A14" s="13">
        <v>81</v>
      </c>
      <c r="B14" s="102" t="str">
        <f>'Data 3 Table'!CE3</f>
        <v>Per cent of  20-24 year olds who left school before completing year 11, 2021</v>
      </c>
      <c r="C14" s="102"/>
      <c r="D14" s="102"/>
      <c r="E14" s="102"/>
      <c r="F14" s="102"/>
      <c r="G14" s="112">
        <f>VLOOKUP($G$11,'Data 3 Table'!$A$4:$CW$84,2+$A14)</f>
        <v>8.1360390830514842</v>
      </c>
      <c r="H14" s="112"/>
      <c r="I14" s="14"/>
      <c r="J14" s="113">
        <f>VLOOKUP($J$11,'Data 3 Table'!$A$4:$CW$84,2+$A14)</f>
        <v>6.3273493484426542</v>
      </c>
      <c r="K14" s="113"/>
      <c r="M14" s="19">
        <f t="shared" si="0"/>
        <v>28.5852674636023</v>
      </c>
      <c r="N14" s="6"/>
      <c r="O14" s="6"/>
    </row>
    <row r="15" spans="1:15" ht="23.25" customHeight="1" x14ac:dyDescent="0.3">
      <c r="A15" s="13">
        <v>73</v>
      </c>
      <c r="B15" s="94" t="str">
        <f>'Data 3 Table'!BW3</f>
        <v>Youth disengagement rate [per cent not in paid employment or enrolled in formal education], 20-24 year-olds, 2021</v>
      </c>
      <c r="C15" s="94"/>
      <c r="D15" s="94"/>
      <c r="E15" s="94"/>
      <c r="F15" s="94"/>
      <c r="G15" s="109">
        <f>VLOOKUP($G$11,'Data 3 Table'!$A$4:$CG$72,2+$A15)</f>
        <v>13.187019320952917</v>
      </c>
      <c r="H15" s="109"/>
      <c r="J15" s="110">
        <f>VLOOKUP($J$11,'Data 3 Table'!$A$4:$CG$72,2+$A15)</f>
        <v>14.011676396997498</v>
      </c>
      <c r="K15" s="110"/>
      <c r="M15" s="18">
        <f t="shared" si="0"/>
        <v>-5.8854990129610245</v>
      </c>
      <c r="N15" s="6"/>
      <c r="O15" s="6"/>
    </row>
    <row r="16" spans="1:15" ht="23.25" customHeight="1" x14ac:dyDescent="0.3">
      <c r="A16" s="13">
        <v>77</v>
      </c>
      <c r="B16" s="125">
        <f>'Data 3 Table'!CA3</f>
        <v>0</v>
      </c>
      <c r="C16" s="125"/>
      <c r="D16" s="125"/>
      <c r="E16" s="125"/>
      <c r="F16" s="125"/>
      <c r="G16" s="126">
        <f>VLOOKUP($G$11,'Data 3 Table'!$A$4:$CG$72,2+$A16)</f>
        <v>0</v>
      </c>
      <c r="H16" s="126"/>
      <c r="I16" s="86"/>
      <c r="J16" s="126">
        <f>VLOOKUP($J$11,'Data 3 Table'!$A$4:$CG$72,2+$A16)</f>
        <v>0</v>
      </c>
      <c r="K16" s="126"/>
      <c r="M16" s="85"/>
      <c r="N16" s="6"/>
      <c r="O16" s="6"/>
    </row>
    <row r="17" spans="1:15" ht="23.25" customHeight="1" x14ac:dyDescent="0.3">
      <c r="A17" s="13">
        <v>78</v>
      </c>
      <c r="B17" s="125">
        <f>'Data 3 Table'!CB3</f>
        <v>0</v>
      </c>
      <c r="C17" s="125"/>
      <c r="D17" s="125"/>
      <c r="E17" s="125"/>
      <c r="F17" s="125"/>
      <c r="G17" s="127">
        <f>VLOOKUP($G$11,'Data 3 Table'!$A$4:$CG$72,2+$A17)</f>
        <v>0</v>
      </c>
      <c r="H17" s="127"/>
      <c r="I17" s="86"/>
      <c r="J17" s="126">
        <f>VLOOKUP($J$11,'Data 3 Table'!$A$4:$CG$72,2+$A17)</f>
        <v>0</v>
      </c>
      <c r="K17" s="126"/>
      <c r="L17" s="86"/>
      <c r="M17" s="84"/>
      <c r="N17" s="6"/>
      <c r="O17" s="6"/>
    </row>
    <row r="18" spans="1:15" ht="23.25" customHeight="1" x14ac:dyDescent="0.3">
      <c r="A18" s="13">
        <v>79</v>
      </c>
      <c r="B18" s="125">
        <f>'Data 3 Table'!CC3</f>
        <v>0</v>
      </c>
      <c r="C18" s="125"/>
      <c r="D18" s="125"/>
      <c r="E18" s="125"/>
      <c r="F18" s="125"/>
      <c r="G18" s="126">
        <f>VLOOKUP($G$11,'Data 3 Table'!$A$4:$CG$72,2+$A18)</f>
        <v>0</v>
      </c>
      <c r="H18" s="126"/>
      <c r="I18" s="86"/>
      <c r="J18" s="126">
        <f>VLOOKUP($J$11,'Data 3 Table'!$A$4:$CG$72,2+$A18)</f>
        <v>0</v>
      </c>
      <c r="K18" s="126"/>
      <c r="L18" s="86"/>
      <c r="M18" s="84"/>
      <c r="N18" s="6"/>
      <c r="O18" s="6"/>
    </row>
    <row r="19" spans="1:15" ht="23.25" customHeight="1" x14ac:dyDescent="0.3">
      <c r="A19" s="13">
        <v>80</v>
      </c>
      <c r="B19" s="125">
        <f>'Data 3 Table'!CD3</f>
        <v>0</v>
      </c>
      <c r="C19" s="125"/>
      <c r="D19" s="125"/>
      <c r="E19" s="125"/>
      <c r="F19" s="125"/>
      <c r="G19" s="127">
        <f>VLOOKUP($G$11,'Data 3 Table'!$A$4:$CG$72,2+$A19)</f>
        <v>0</v>
      </c>
      <c r="H19" s="127"/>
      <c r="I19" s="86"/>
      <c r="J19" s="127">
        <f>VLOOKUP($J$11,'Data 3 Table'!$A$4:$CG$72,2+$A19)</f>
        <v>0</v>
      </c>
      <c r="K19" s="127"/>
      <c r="L19" s="86"/>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248" priority="142" stopIfTrue="1">
      <formula>J8=2</formula>
    </cfRule>
  </conditionalFormatting>
  <conditionalFormatting sqref="M13:M14">
    <cfRule type="expression" dxfId="247" priority="141" stopIfTrue="1">
      <formula>$J$8=1</formula>
    </cfRule>
  </conditionalFormatting>
  <conditionalFormatting sqref="M14">
    <cfRule type="expression" dxfId="246" priority="139" stopIfTrue="1">
      <formula>$J$8=1</formula>
    </cfRule>
  </conditionalFormatting>
  <conditionalFormatting sqref="M13">
    <cfRule type="expression" dxfId="245" priority="138" stopIfTrue="1">
      <formula>$J$8=1</formula>
    </cfRule>
  </conditionalFormatting>
  <conditionalFormatting sqref="M14">
    <cfRule type="expression" dxfId="244" priority="137" stopIfTrue="1">
      <formula>$J$8=1</formula>
    </cfRule>
  </conditionalFormatting>
  <conditionalFormatting sqref="M13">
    <cfRule type="expression" dxfId="243" priority="136" stopIfTrue="1">
      <formula>$J$8=1</formula>
    </cfRule>
  </conditionalFormatting>
  <conditionalFormatting sqref="M14">
    <cfRule type="expression" dxfId="242" priority="135" stopIfTrue="1">
      <formula>$J$8=1</formula>
    </cfRule>
  </conditionalFormatting>
  <conditionalFormatting sqref="M13">
    <cfRule type="expression" dxfId="241" priority="134" stopIfTrue="1">
      <formula>$J$8=1</formula>
    </cfRule>
  </conditionalFormatting>
  <conditionalFormatting sqref="M14">
    <cfRule type="expression" dxfId="240" priority="133" stopIfTrue="1">
      <formula>$J$8=1</formula>
    </cfRule>
  </conditionalFormatting>
  <conditionalFormatting sqref="M13">
    <cfRule type="expression" dxfId="239" priority="132" stopIfTrue="1">
      <formula>$J$8=1</formula>
    </cfRule>
  </conditionalFormatting>
  <conditionalFormatting sqref="M13">
    <cfRule type="expression" dxfId="238" priority="131" stopIfTrue="1">
      <formula>$J$8=1</formula>
    </cfRule>
  </conditionalFormatting>
  <conditionalFormatting sqref="M14">
    <cfRule type="expression" dxfId="237" priority="130" stopIfTrue="1">
      <formula>$J$8=1</formula>
    </cfRule>
  </conditionalFormatting>
  <conditionalFormatting sqref="M14">
    <cfRule type="expression" dxfId="236" priority="129" stopIfTrue="1">
      <formula>$J$8=1</formula>
    </cfRule>
  </conditionalFormatting>
  <conditionalFormatting sqref="M13">
    <cfRule type="expression" dxfId="235" priority="128" stopIfTrue="1">
      <formula>$J$8=1</formula>
    </cfRule>
  </conditionalFormatting>
  <conditionalFormatting sqref="M13:M14">
    <cfRule type="expression" dxfId="234" priority="127" stopIfTrue="1">
      <formula>$N$1=2</formula>
    </cfRule>
  </conditionalFormatting>
  <conditionalFormatting sqref="M15">
    <cfRule type="expression" dxfId="233" priority="61" stopIfTrue="1">
      <formula>$J$8=1</formula>
    </cfRule>
  </conditionalFormatting>
  <conditionalFormatting sqref="M15">
    <cfRule type="expression" dxfId="232" priority="60" stopIfTrue="1">
      <formula>$J$8=1</formula>
    </cfRule>
  </conditionalFormatting>
  <conditionalFormatting sqref="M15">
    <cfRule type="expression" dxfId="231" priority="59" stopIfTrue="1">
      <formula>$J$8=1</formula>
    </cfRule>
  </conditionalFormatting>
  <conditionalFormatting sqref="M15">
    <cfRule type="expression" dxfId="230" priority="58" stopIfTrue="1">
      <formula>$J$8=1</formula>
    </cfRule>
  </conditionalFormatting>
  <conditionalFormatting sqref="M15">
    <cfRule type="expression" dxfId="229" priority="57" stopIfTrue="1">
      <formula>$J$8=1</formula>
    </cfRule>
  </conditionalFormatting>
  <conditionalFormatting sqref="M15">
    <cfRule type="expression" dxfId="228" priority="56" stopIfTrue="1">
      <formula>$J$8=1</formula>
    </cfRule>
  </conditionalFormatting>
  <conditionalFormatting sqref="M15">
    <cfRule type="expression" dxfId="227" priority="55" stopIfTrue="1">
      <formula>$J$8=1</formula>
    </cfRule>
  </conditionalFormatting>
  <conditionalFormatting sqref="M15">
    <cfRule type="expression" dxfId="226" priority="54" stopIfTrue="1">
      <formula>$N$1=2</formula>
    </cfRule>
  </conditionalFormatting>
  <conditionalFormatting sqref="M14">
    <cfRule type="expression" dxfId="225" priority="53" stopIfTrue="1">
      <formula>$J$8=1</formula>
    </cfRule>
  </conditionalFormatting>
  <conditionalFormatting sqref="M14">
    <cfRule type="expression" dxfId="224" priority="52" stopIfTrue="1">
      <formula>$J$8=1</formula>
    </cfRule>
  </conditionalFormatting>
  <conditionalFormatting sqref="M14">
    <cfRule type="expression" dxfId="223" priority="51" stopIfTrue="1">
      <formula>$J$8=1</formula>
    </cfRule>
  </conditionalFormatting>
  <conditionalFormatting sqref="M14">
    <cfRule type="expression" dxfId="222" priority="50" stopIfTrue="1">
      <formula>$J$8=1</formula>
    </cfRule>
  </conditionalFormatting>
  <conditionalFormatting sqref="M14">
    <cfRule type="expression" dxfId="221" priority="49" stopIfTrue="1">
      <formula>$J$8=1</formula>
    </cfRule>
  </conditionalFormatting>
  <conditionalFormatting sqref="M14">
    <cfRule type="expression" dxfId="220" priority="48" stopIfTrue="1">
      <formula>$J$8=1</formula>
    </cfRule>
  </conditionalFormatting>
  <conditionalFormatting sqref="M14">
    <cfRule type="expression" dxfId="219" priority="47" stopIfTrue="1">
      <formula>$J$8=1</formula>
    </cfRule>
  </conditionalFormatting>
  <conditionalFormatting sqref="M14">
    <cfRule type="expression" dxfId="218" priority="46" stopIfTrue="1">
      <formula>$J$8=1</formula>
    </cfRule>
  </conditionalFormatting>
  <conditionalFormatting sqref="M14">
    <cfRule type="expression" dxfId="217" priority="45" stopIfTrue="1">
      <formula>$J$8=1</formula>
    </cfRule>
  </conditionalFormatting>
  <conditionalFormatting sqref="M14">
    <cfRule type="expression" dxfId="216" priority="44" stopIfTrue="1">
      <formula>$J$8=1</formula>
    </cfRule>
  </conditionalFormatting>
  <conditionalFormatting sqref="M14">
    <cfRule type="expression" dxfId="215" priority="43" stopIfTrue="1">
      <formula>$J$8=1</formula>
    </cfRule>
  </conditionalFormatting>
  <conditionalFormatting sqref="M14">
    <cfRule type="expression" dxfId="214" priority="42" stopIfTrue="1">
      <formula>$J$8=1</formula>
    </cfRule>
  </conditionalFormatting>
  <conditionalFormatting sqref="M14">
    <cfRule type="expression" dxfId="213" priority="41" stopIfTrue="1">
      <formula>$N$1=2</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8" sqref="B18:F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77</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43">
        <v>44</v>
      </c>
      <c r="B13" s="94" t="str">
        <f>'Data 3 Table'!AT3</f>
        <v>Per cent of women aged 20-24, who had given birth, 2021</v>
      </c>
      <c r="C13" s="94"/>
      <c r="D13" s="94"/>
      <c r="E13" s="94"/>
      <c r="F13" s="94"/>
      <c r="G13" s="109">
        <f>VLOOKUP($G$11,'Data 3 Table'!$A$4:$CW$84,2+$A13)</f>
        <v>7.8259092766653051</v>
      </c>
      <c r="H13" s="109"/>
      <c r="I13" s="14"/>
      <c r="J13" s="110">
        <f>VLOOKUP($J$11,'Data 3 Table'!$A$4:$CW$84,2+$A13)</f>
        <v>4.1288689106122556</v>
      </c>
      <c r="K13" s="110"/>
      <c r="M13" s="19">
        <f t="shared" ref="M13:M18" si="0">(G13-J13)/J13*100</f>
        <v>89.54123868042177</v>
      </c>
      <c r="N13" s="6"/>
      <c r="O13" s="6"/>
    </row>
    <row r="14" spans="1:15" ht="23.25" customHeight="1" x14ac:dyDescent="0.3">
      <c r="A14" s="43">
        <v>30</v>
      </c>
      <c r="B14" s="102" t="str">
        <f>'Data 3 Table'!AF3</f>
        <v>Rate of Police callouts to family incidents, 2022/23 [per 100,000 residents]</v>
      </c>
      <c r="C14" s="102"/>
      <c r="D14" s="102"/>
      <c r="E14" s="102"/>
      <c r="F14" s="102"/>
      <c r="G14" s="112">
        <f>VLOOKUP($G$11,'Data 3 Table'!$A$4:$CW$84,2+$A14)</f>
        <v>1667.7042654743714</v>
      </c>
      <c r="H14" s="112"/>
      <c r="I14" s="14"/>
      <c r="J14" s="113">
        <f>VLOOKUP($J$11,'Data 3 Table'!$A$4:$CW$84,2+$A14)</f>
        <v>1202</v>
      </c>
      <c r="K14" s="113"/>
      <c r="M14" s="18">
        <f t="shared" si="0"/>
        <v>38.744115264090794</v>
      </c>
      <c r="N14" s="6"/>
      <c r="O14" s="6"/>
    </row>
    <row r="15" spans="1:15" ht="23.25" customHeight="1" x14ac:dyDescent="0.3">
      <c r="A15" s="43">
        <v>28</v>
      </c>
      <c r="B15" s="94" t="str">
        <f>'Data 3 Table'!AD3</f>
        <v>Median weekly household gross income: two-parent families, 2021</v>
      </c>
      <c r="C15" s="94"/>
      <c r="D15" s="94"/>
      <c r="E15" s="94"/>
      <c r="F15" s="94"/>
      <c r="G15" s="118">
        <f>VLOOKUP($G$11,'Data 3 Table'!$A$4:$CW$84,2+$A15)</f>
        <v>1985.7211231652841</v>
      </c>
      <c r="H15" s="118"/>
      <c r="I15" s="14"/>
      <c r="J15" s="119">
        <f>VLOOKUP($J$11,'Data 3 Table'!$A$4:$CW$84,2+$A15)</f>
        <v>3120.9514559579711</v>
      </c>
      <c r="K15" s="119"/>
      <c r="M15" s="19">
        <f t="shared" si="0"/>
        <v>-36.374495047832447</v>
      </c>
      <c r="N15" s="6"/>
      <c r="O15" s="6"/>
    </row>
    <row r="16" spans="1:15" ht="23.25" customHeight="1" x14ac:dyDescent="0.3">
      <c r="A16" s="43">
        <v>29</v>
      </c>
      <c r="B16" s="102" t="str">
        <f>'Data 3 Table'!AE3</f>
        <v>Median weekly household gross income: one-parent families, 2021</v>
      </c>
      <c r="C16" s="102"/>
      <c r="D16" s="102"/>
      <c r="E16" s="102"/>
      <c r="F16" s="102"/>
      <c r="G16" s="122">
        <f>VLOOKUP($G$11,'Data 3 Table'!$A$4:$CW$84,2+$A16)</f>
        <v>1134.6385542168675</v>
      </c>
      <c r="H16" s="122"/>
      <c r="I16" s="14"/>
      <c r="J16" s="123">
        <f>VLOOKUP($J$11,'Data 3 Table'!$A$4:$CW$84,2+$A16)</f>
        <v>1351.0680267896173</v>
      </c>
      <c r="K16" s="123"/>
      <c r="M16" s="18">
        <f t="shared" si="0"/>
        <v>-16.019139545994989</v>
      </c>
      <c r="N16" s="6"/>
      <c r="O16" s="6"/>
    </row>
    <row r="17" spans="1:15" ht="23.25" customHeight="1" x14ac:dyDescent="0.3">
      <c r="A17" s="43">
        <v>27</v>
      </c>
      <c r="B17" s="94" t="str">
        <f>'Data 3 Table'!AC3</f>
        <v>Per cent of two-parent families with no parent in paid work, 2021</v>
      </c>
      <c r="C17" s="94"/>
      <c r="D17" s="94"/>
      <c r="E17" s="94"/>
      <c r="F17" s="94"/>
      <c r="G17" s="109">
        <f>VLOOKUP($G$11,'Data 3 Table'!$A$4:$CW$84,2+$A17)</f>
        <v>17.121865516690622</v>
      </c>
      <c r="H17" s="109"/>
      <c r="I17" s="14"/>
      <c r="J17" s="110">
        <f>VLOOKUP($J$11,'Data 3 Table'!$A$4:$CW$84,2+$A17)</f>
        <v>8.4970204700647898</v>
      </c>
      <c r="K17" s="110"/>
      <c r="M17" s="19">
        <f t="shared" si="0"/>
        <v>101.50434587054806</v>
      </c>
      <c r="N17" s="6"/>
      <c r="O17" s="6"/>
    </row>
    <row r="18" spans="1:15" ht="28" customHeight="1" x14ac:dyDescent="0.3">
      <c r="A18" s="8"/>
      <c r="B18" s="102">
        <f>'Data 3 Table'!AE5</f>
        <v>1081.3492063492063</v>
      </c>
      <c r="C18" s="102"/>
      <c r="D18" s="102"/>
      <c r="E18" s="102"/>
      <c r="F18" s="102"/>
      <c r="G18" s="122" t="str">
        <f>VLOOKUP($G$11,'Data 3 Table'!$A$4:$CW$84,2+$A18)</f>
        <v xml:space="preserve">Greater Dandenong </v>
      </c>
      <c r="H18" s="122"/>
      <c r="I18" s="14"/>
      <c r="J18" s="123" t="str">
        <f>VLOOKUP($J$11,'Data 3 Table'!$A$4:$CW$84,2+$A18)</f>
        <v xml:space="preserve">Greater Melbourne </v>
      </c>
      <c r="K18" s="123"/>
      <c r="M18" s="18" t="e">
        <f t="shared" si="0"/>
        <v>#VALUE!</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212" priority="33" stopIfTrue="1">
      <formula>J8=2</formula>
    </cfRule>
  </conditionalFormatting>
  <conditionalFormatting sqref="M13 M15 M17">
    <cfRule type="expression" dxfId="211" priority="32" stopIfTrue="1">
      <formula>$J$8=1</formula>
    </cfRule>
  </conditionalFormatting>
  <conditionalFormatting sqref="M14 M16">
    <cfRule type="expression" dxfId="210" priority="31" stopIfTrue="1">
      <formula>$J$8=1</formula>
    </cfRule>
  </conditionalFormatting>
  <conditionalFormatting sqref="M13">
    <cfRule type="expression" dxfId="209" priority="30" stopIfTrue="1">
      <formula>$J$8=1</formula>
    </cfRule>
  </conditionalFormatting>
  <conditionalFormatting sqref="M14">
    <cfRule type="expression" dxfId="208" priority="29" stopIfTrue="1">
      <formula>$J$8=1</formula>
    </cfRule>
  </conditionalFormatting>
  <conditionalFormatting sqref="M13">
    <cfRule type="expression" dxfId="207" priority="28" stopIfTrue="1">
      <formula>$J$8=1</formula>
    </cfRule>
  </conditionalFormatting>
  <conditionalFormatting sqref="M14">
    <cfRule type="expression" dxfId="206" priority="27" stopIfTrue="1">
      <formula>$J$8=1</formula>
    </cfRule>
  </conditionalFormatting>
  <conditionalFormatting sqref="M13">
    <cfRule type="expression" dxfId="205" priority="26" stopIfTrue="1">
      <formula>$J$8=1</formula>
    </cfRule>
  </conditionalFormatting>
  <conditionalFormatting sqref="M14">
    <cfRule type="expression" dxfId="204" priority="25" stopIfTrue="1">
      <formula>$J$8=1</formula>
    </cfRule>
  </conditionalFormatting>
  <conditionalFormatting sqref="M13:M14">
    <cfRule type="expression" dxfId="203" priority="24" stopIfTrue="1">
      <formula>$J$8=1</formula>
    </cfRule>
  </conditionalFormatting>
  <conditionalFormatting sqref="M14">
    <cfRule type="expression" dxfId="202" priority="23" stopIfTrue="1">
      <formula>$J$8=1</formula>
    </cfRule>
  </conditionalFormatting>
  <conditionalFormatting sqref="M13:M14">
    <cfRule type="expression" dxfId="201" priority="22" stopIfTrue="1">
      <formula>$N$1=2</formula>
    </cfRule>
  </conditionalFormatting>
  <conditionalFormatting sqref="M15">
    <cfRule type="expression" dxfId="200" priority="21" stopIfTrue="1">
      <formula>$J$8=1</formula>
    </cfRule>
  </conditionalFormatting>
  <conditionalFormatting sqref="M16">
    <cfRule type="expression" dxfId="199" priority="20" stopIfTrue="1">
      <formula>$J$8=1</formula>
    </cfRule>
  </conditionalFormatting>
  <conditionalFormatting sqref="M15">
    <cfRule type="expression" dxfId="198" priority="19" stopIfTrue="1">
      <formula>$J$8=1</formula>
    </cfRule>
  </conditionalFormatting>
  <conditionalFormatting sqref="M16">
    <cfRule type="expression" dxfId="197" priority="18" stopIfTrue="1">
      <formula>$J$8=1</formula>
    </cfRule>
  </conditionalFormatting>
  <conditionalFormatting sqref="M15">
    <cfRule type="expression" dxfId="196" priority="17" stopIfTrue="1">
      <formula>$J$8=1</formula>
    </cfRule>
  </conditionalFormatting>
  <conditionalFormatting sqref="M16">
    <cfRule type="expression" dxfId="195" priority="16" stopIfTrue="1">
      <formula>$J$8=1</formula>
    </cfRule>
  </conditionalFormatting>
  <conditionalFormatting sqref="M15:M16">
    <cfRule type="expression" dxfId="194" priority="15" stopIfTrue="1">
      <formula>$J$8=1</formula>
    </cfRule>
  </conditionalFormatting>
  <conditionalFormatting sqref="M16">
    <cfRule type="expression" dxfId="193" priority="14" stopIfTrue="1">
      <formula>$J$8=1</formula>
    </cfRule>
  </conditionalFormatting>
  <conditionalFormatting sqref="M15:M16">
    <cfRule type="expression" dxfId="192" priority="13" stopIfTrue="1">
      <formula>$N$1=2</formula>
    </cfRule>
  </conditionalFormatting>
  <conditionalFormatting sqref="M17">
    <cfRule type="expression" dxfId="191" priority="12" stopIfTrue="1">
      <formula>$J$8=1</formula>
    </cfRule>
  </conditionalFormatting>
  <conditionalFormatting sqref="M17">
    <cfRule type="expression" dxfId="190" priority="11" stopIfTrue="1">
      <formula>$J$8=1</formula>
    </cfRule>
  </conditionalFormatting>
  <conditionalFormatting sqref="M17">
    <cfRule type="expression" dxfId="189" priority="10" stopIfTrue="1">
      <formula>$J$8=1</formula>
    </cfRule>
  </conditionalFormatting>
  <conditionalFormatting sqref="M17">
    <cfRule type="expression" dxfId="188" priority="9" stopIfTrue="1">
      <formula>$J$8=1</formula>
    </cfRule>
  </conditionalFormatting>
  <conditionalFormatting sqref="M17">
    <cfRule type="expression" dxfId="187" priority="8" stopIfTrue="1">
      <formula>$N$1=2</formula>
    </cfRule>
  </conditionalFormatting>
  <conditionalFormatting sqref="M18">
    <cfRule type="expression" dxfId="186" priority="7" stopIfTrue="1">
      <formula>$J$8=1</formula>
    </cfRule>
  </conditionalFormatting>
  <conditionalFormatting sqref="M18">
    <cfRule type="expression" dxfId="185" priority="6" stopIfTrue="1">
      <formula>$J$8=1</formula>
    </cfRule>
  </conditionalFormatting>
  <conditionalFormatting sqref="M18">
    <cfRule type="expression" dxfId="184" priority="5" stopIfTrue="1">
      <formula>$J$8=1</formula>
    </cfRule>
  </conditionalFormatting>
  <conditionalFormatting sqref="M18">
    <cfRule type="expression" dxfId="183" priority="4" stopIfTrue="1">
      <formula>$J$8=1</formula>
    </cfRule>
  </conditionalFormatting>
  <conditionalFormatting sqref="M18">
    <cfRule type="expression" dxfId="182" priority="3" stopIfTrue="1">
      <formula>$J$8=1</formula>
    </cfRule>
  </conditionalFormatting>
  <conditionalFormatting sqref="M18">
    <cfRule type="expression" dxfId="181" priority="2" stopIfTrue="1">
      <formula>$J$8=1</formula>
    </cfRule>
  </conditionalFormatting>
  <conditionalFormatting sqref="M18">
    <cfRule type="expression" dxfId="180" priority="1" stopIfTrue="1">
      <formula>$N$1=2</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8" t="s">
        <v>78</v>
      </c>
      <c r="C7" s="98"/>
      <c r="D7" s="98"/>
      <c r="E7" s="98"/>
      <c r="F7" s="98"/>
      <c r="G7" s="98"/>
      <c r="H7" s="98"/>
      <c r="I7" s="98"/>
      <c r="J7" s="98"/>
      <c r="K7" s="98"/>
      <c r="L7" s="2"/>
    </row>
    <row r="8" spans="1:15"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5" ht="3" customHeight="1" x14ac:dyDescent="0.3">
      <c r="G9" s="9"/>
      <c r="H9" s="9"/>
      <c r="I9" s="9"/>
      <c r="J9" s="9"/>
      <c r="M9" s="100"/>
      <c r="N9" s="100"/>
    </row>
    <row r="10" spans="1:15" ht="13.5" customHeight="1" x14ac:dyDescent="0.35">
      <c r="F10" s="3"/>
      <c r="G10" s="111"/>
      <c r="H10" s="111"/>
      <c r="I10" s="111"/>
      <c r="J10" s="111"/>
      <c r="K10" s="111"/>
      <c r="M10" s="100"/>
      <c r="N10" s="100"/>
    </row>
    <row r="11" spans="1:15" ht="15" customHeight="1" x14ac:dyDescent="0.3">
      <c r="G11" s="11">
        <f>Community!H11</f>
        <v>26</v>
      </c>
      <c r="H11" s="9"/>
      <c r="I11" s="9"/>
      <c r="J11" s="11">
        <f>Community!J11</f>
        <v>80</v>
      </c>
      <c r="M11" s="100"/>
      <c r="N11" s="100"/>
    </row>
    <row r="12" spans="1:15"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5" ht="23.25" customHeight="1" x14ac:dyDescent="0.3">
      <c r="A13" s="13">
        <v>63</v>
      </c>
      <c r="B13" s="94" t="str">
        <f>'Data 3 Table'!BM3</f>
        <v>Self-reported health status - Fair/poor, 2020</v>
      </c>
      <c r="C13" s="94"/>
      <c r="D13" s="94"/>
      <c r="E13" s="94"/>
      <c r="F13" s="94"/>
      <c r="G13" s="116">
        <f>VLOOKUP($G$11,'Data 3 Table'!$A$4:$CW$84,2+$A13)</f>
        <v>22.315539999999999</v>
      </c>
      <c r="H13" s="116"/>
      <c r="I13" s="14"/>
      <c r="J13" s="117">
        <f>VLOOKUP($J$11,'Data 3 Table'!$A$4:$CW$84,2+$A13)</f>
        <v>20.999876129032256</v>
      </c>
      <c r="K13" s="117"/>
      <c r="M13" s="19">
        <f>(G13-J13)/J13*100</f>
        <v>6.2651030076736616</v>
      </c>
      <c r="N13" s="6"/>
      <c r="O13" s="6"/>
    </row>
    <row r="14" spans="1:15" ht="23.25" customHeight="1" x14ac:dyDescent="0.3">
      <c r="A14" s="13">
        <v>65</v>
      </c>
      <c r="B14" s="102" t="str">
        <f>'Data 3 Table'!BO3</f>
        <v>Per cent of 55-59 year olds in paid employment, 2021</v>
      </c>
      <c r="C14" s="102"/>
      <c r="D14" s="102"/>
      <c r="E14" s="102"/>
      <c r="F14" s="102"/>
      <c r="G14" s="112">
        <f>VLOOKUP($G$11,'Data 3 Table'!$A$4:$CW$84,2+$A14)</f>
        <v>63.774678500271683</v>
      </c>
      <c r="H14" s="112"/>
      <c r="I14" s="14"/>
      <c r="J14" s="113">
        <f>VLOOKUP($J$11,'Data 3 Table'!$A$4:$CW$84,2+$A14)</f>
        <v>76.527435139132109</v>
      </c>
      <c r="K14" s="113"/>
      <c r="M14" s="18">
        <f>(G14-J14)/J14*100</f>
        <v>-16.664293812637315</v>
      </c>
      <c r="N14" s="6"/>
      <c r="O14" s="6"/>
    </row>
    <row r="15" spans="1:15" ht="23.25" customHeight="1" x14ac:dyDescent="0.3">
      <c r="A15" s="13">
        <v>66</v>
      </c>
      <c r="B15" s="94" t="str">
        <f>'Data 3 Table'!BP3</f>
        <v>Median weekly individual gross income, 55-59 year-olds, 2021</v>
      </c>
      <c r="C15" s="94"/>
      <c r="D15" s="94"/>
      <c r="E15" s="94"/>
      <c r="F15" s="94"/>
      <c r="G15" s="118">
        <f>VLOOKUP($G$11,'Data 3 Table'!$A$4:$CW$84,2+$A15)</f>
        <v>707.39389920424401</v>
      </c>
      <c r="H15" s="118"/>
      <c r="I15" s="14"/>
      <c r="J15" s="119">
        <f>VLOOKUP($J$11,'Data 3 Table'!$A$4:$CW$84,2+$A15)</f>
        <v>1149.466672721268</v>
      </c>
      <c r="K15" s="119"/>
      <c r="M15" s="19">
        <f>(G15-J15)/J15*100</f>
        <v>-38.458946571321896</v>
      </c>
      <c r="N15" s="6"/>
      <c r="O15" s="6"/>
    </row>
    <row r="16" spans="1:15" ht="25.5" customHeight="1" x14ac:dyDescent="0.3">
      <c r="A16" s="13">
        <v>64</v>
      </c>
      <c r="B16" s="102" t="str">
        <f>'Data 3 Table'!BN3</f>
        <v>Per cent of persons aged 70+, with a disability, 2021</v>
      </c>
      <c r="C16" s="102"/>
      <c r="D16" s="102"/>
      <c r="E16" s="102"/>
      <c r="F16" s="102"/>
      <c r="G16" s="112">
        <f>VLOOKUP($G$11,'Data 3 Table'!$A$4:$CW$84,2+$A16)</f>
        <v>35.588585017835911</v>
      </c>
      <c r="H16" s="112"/>
      <c r="I16" s="14"/>
      <c r="J16" s="113">
        <f>VLOOKUP($J$11,'Data 3 Table'!$A$4:$CW$84,2+$A16)</f>
        <v>27.544194769203166</v>
      </c>
      <c r="K16" s="113"/>
      <c r="M16" s="18">
        <f>(G16-J16)/J16*100</f>
        <v>29.205392700849913</v>
      </c>
      <c r="N16" s="6"/>
      <c r="O16" s="6"/>
    </row>
    <row r="17" spans="1:13" ht="28" customHeight="1" x14ac:dyDescent="0.3">
      <c r="A17" s="13">
        <v>102</v>
      </c>
      <c r="B17" s="94" t="str">
        <f>'Data 3 Table'!CZ3</f>
        <v>Aged pension recipients as a percentage of persons aged 65 or more, June 2023</v>
      </c>
      <c r="C17" s="94"/>
      <c r="D17" s="94"/>
      <c r="E17" s="94"/>
      <c r="F17" s="94"/>
      <c r="G17" s="109">
        <f>VLOOKUP($G$11,'Data 3 Table'!$A$4:$CZ$84,2+$A17)</f>
        <v>69.71691372313839</v>
      </c>
      <c r="H17" s="109"/>
      <c r="I17" s="14"/>
      <c r="J17" s="110">
        <f>VLOOKUP($J$11,'Data 3 Table'!$A$4:$CZ$84,2+$A17)</f>
        <v>55.1</v>
      </c>
      <c r="K17" s="110"/>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179" priority="37" stopIfTrue="1">
      <formula>J8=2</formula>
    </cfRule>
  </conditionalFormatting>
  <conditionalFormatting sqref="M13 M15">
    <cfRule type="expression" dxfId="178" priority="36" stopIfTrue="1">
      <formula>$J$8=1</formula>
    </cfRule>
  </conditionalFormatting>
  <conditionalFormatting sqref="M14 M16">
    <cfRule type="expression" dxfId="177" priority="35" stopIfTrue="1">
      <formula>$J$8=1</formula>
    </cfRule>
  </conditionalFormatting>
  <conditionalFormatting sqref="M13 M15">
    <cfRule type="expression" dxfId="176" priority="34" stopIfTrue="1">
      <formula>$J$8=1</formula>
    </cfRule>
  </conditionalFormatting>
  <conditionalFormatting sqref="M14 M16">
    <cfRule type="expression" dxfId="175" priority="33" stopIfTrue="1">
      <formula>$J$8=1</formula>
    </cfRule>
  </conditionalFormatting>
  <conditionalFormatting sqref="M13">
    <cfRule type="expression" dxfId="174" priority="32" stopIfTrue="1">
      <formula>$J$8=1</formula>
    </cfRule>
  </conditionalFormatting>
  <conditionalFormatting sqref="M14">
    <cfRule type="expression" dxfId="173" priority="31" stopIfTrue="1">
      <formula>$J$8=1</formula>
    </cfRule>
  </conditionalFormatting>
  <conditionalFormatting sqref="M13">
    <cfRule type="expression" dxfId="172" priority="30" stopIfTrue="1">
      <formula>$J$8=1</formula>
    </cfRule>
  </conditionalFormatting>
  <conditionalFormatting sqref="M14">
    <cfRule type="expression" dxfId="171" priority="29" stopIfTrue="1">
      <formula>$J$8=1</formula>
    </cfRule>
  </conditionalFormatting>
  <conditionalFormatting sqref="M13">
    <cfRule type="expression" dxfId="170" priority="28" stopIfTrue="1">
      <formula>$J$8=1</formula>
    </cfRule>
  </conditionalFormatting>
  <conditionalFormatting sqref="M14">
    <cfRule type="expression" dxfId="169" priority="27" stopIfTrue="1">
      <formula>$J$8=1</formula>
    </cfRule>
  </conditionalFormatting>
  <conditionalFormatting sqref="M13:M14">
    <cfRule type="expression" dxfId="168" priority="26" stopIfTrue="1">
      <formula>$J$8=1</formula>
    </cfRule>
  </conditionalFormatting>
  <conditionalFormatting sqref="M14">
    <cfRule type="expression" dxfId="167" priority="25" stopIfTrue="1">
      <formula>$J$8=1</formula>
    </cfRule>
  </conditionalFormatting>
  <conditionalFormatting sqref="M13:M14">
    <cfRule type="expression" dxfId="166" priority="24" stopIfTrue="1">
      <formula>$N$1=2</formula>
    </cfRule>
  </conditionalFormatting>
  <conditionalFormatting sqref="M15">
    <cfRule type="expression" dxfId="165" priority="23" stopIfTrue="1">
      <formula>$J$8=1</formula>
    </cfRule>
  </conditionalFormatting>
  <conditionalFormatting sqref="M16">
    <cfRule type="expression" dxfId="164" priority="22" stopIfTrue="1">
      <formula>$J$8=1</formula>
    </cfRule>
  </conditionalFormatting>
  <conditionalFormatting sqref="M15">
    <cfRule type="expression" dxfId="163" priority="21" stopIfTrue="1">
      <formula>$J$8=1</formula>
    </cfRule>
  </conditionalFormatting>
  <conditionalFormatting sqref="M16">
    <cfRule type="expression" dxfId="162" priority="20" stopIfTrue="1">
      <formula>$J$8=1</formula>
    </cfRule>
  </conditionalFormatting>
  <conditionalFormatting sqref="M15">
    <cfRule type="expression" dxfId="161" priority="19" stopIfTrue="1">
      <formula>$J$8=1</formula>
    </cfRule>
  </conditionalFormatting>
  <conditionalFormatting sqref="M16">
    <cfRule type="expression" dxfId="160" priority="18" stopIfTrue="1">
      <formula>$J$8=1</formula>
    </cfRule>
  </conditionalFormatting>
  <conditionalFormatting sqref="M15:M16">
    <cfRule type="expression" dxfId="159" priority="17" stopIfTrue="1">
      <formula>$J$8=1</formula>
    </cfRule>
  </conditionalFormatting>
  <conditionalFormatting sqref="M16">
    <cfRule type="expression" dxfId="158" priority="16" stopIfTrue="1">
      <formula>$J$8=1</formula>
    </cfRule>
  </conditionalFormatting>
  <conditionalFormatting sqref="M15:M16">
    <cfRule type="expression" dxfId="157" priority="15" stopIfTrue="1">
      <formula>$N$1=2</formula>
    </cfRule>
  </conditionalFormatting>
  <conditionalFormatting sqref="M17">
    <cfRule type="expression" dxfId="156" priority="14" stopIfTrue="1">
      <formula>$J$8=1</formula>
    </cfRule>
  </conditionalFormatting>
  <conditionalFormatting sqref="M17">
    <cfRule type="expression" dxfId="155" priority="13" stopIfTrue="1">
      <formula>$J$8=1</formula>
    </cfRule>
  </conditionalFormatting>
  <conditionalFormatting sqref="M17">
    <cfRule type="expression" dxfId="154" priority="12" stopIfTrue="1">
      <formula>$J$8=1</formula>
    </cfRule>
  </conditionalFormatting>
  <conditionalFormatting sqref="M17">
    <cfRule type="expression" dxfId="153" priority="11" stopIfTrue="1">
      <formula>$J$8=1</formula>
    </cfRule>
  </conditionalFormatting>
  <conditionalFormatting sqref="M17">
    <cfRule type="expression" dxfId="152" priority="10" stopIfTrue="1">
      <formula>$J$8=1</formula>
    </cfRule>
  </conditionalFormatting>
  <conditionalFormatting sqref="M17">
    <cfRule type="expression" dxfId="151" priority="9" stopIfTrue="1">
      <formula>$J$8=1</formula>
    </cfRule>
  </conditionalFormatting>
  <conditionalFormatting sqref="M17">
    <cfRule type="expression" dxfId="150" priority="8" stopIfTrue="1">
      <formula>$N$1=2</formula>
    </cfRule>
  </conditionalFormatting>
  <conditionalFormatting sqref="M17">
    <cfRule type="expression" dxfId="149" priority="7" stopIfTrue="1">
      <formula>$J$8=1</formula>
    </cfRule>
  </conditionalFormatting>
  <conditionalFormatting sqref="M17">
    <cfRule type="expression" dxfId="148" priority="6" stopIfTrue="1">
      <formula>$J$8=1</formula>
    </cfRule>
  </conditionalFormatting>
  <conditionalFormatting sqref="M17">
    <cfRule type="expression" dxfId="147" priority="5" stopIfTrue="1">
      <formula>$J$8=1</formula>
    </cfRule>
  </conditionalFormatting>
  <conditionalFormatting sqref="M17">
    <cfRule type="expression" dxfId="146" priority="4" stopIfTrue="1">
      <formula>$J$8=1</formula>
    </cfRule>
  </conditionalFormatting>
  <conditionalFormatting sqref="M17">
    <cfRule type="expression" dxfId="145" priority="3" stopIfTrue="1">
      <formula>$J$8=1</formula>
    </cfRule>
  </conditionalFormatting>
  <conditionalFormatting sqref="M17">
    <cfRule type="expression" dxfId="144" priority="2" stopIfTrue="1">
      <formula>$J$8=1</formula>
    </cfRule>
  </conditionalFormatting>
  <conditionalFormatting sqref="M17">
    <cfRule type="expression" dxfId="143" priority="1" stopIfTrue="1">
      <formula>$N$1=2</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P19" sqref="P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79</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G11" s="11">
        <f>Community!H11</f>
        <v>26</v>
      </c>
      <c r="H11" s="9"/>
      <c r="I11" s="9"/>
      <c r="J11" s="11">
        <f>Community!J11</f>
        <v>80</v>
      </c>
      <c r="M11" s="100"/>
      <c r="N11" s="100"/>
    </row>
    <row r="12" spans="1:16"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43</v>
      </c>
      <c r="B13" s="94" t="str">
        <f>'Data 3 Table'!AS3</f>
        <v>Female / Male (%): Per cent of 30-39 year olds who had left school before completing year 11, 2021</v>
      </c>
      <c r="C13" s="94"/>
      <c r="D13" s="94"/>
      <c r="E13" s="94"/>
      <c r="F13" s="94"/>
      <c r="G13" s="116">
        <f>VLOOKUP($G$11,'Data 3 Table'!$A$4:$CW$84,2+$A13)</f>
        <v>84.475990169258793</v>
      </c>
      <c r="H13" s="116"/>
      <c r="I13" s="14"/>
      <c r="J13" s="117">
        <f>VLOOKUP($J$11,'Data 3 Table'!$A$4:$CW$84,2+$A13)</f>
        <v>61.434761140972121</v>
      </c>
      <c r="K13" s="117"/>
      <c r="M13" s="19">
        <f t="shared" ref="M13:M19" si="0">(G13-J13)/J13*100</f>
        <v>37.505198360606954</v>
      </c>
      <c r="N13" s="6"/>
      <c r="O13" s="6"/>
      <c r="P13" s="9"/>
    </row>
    <row r="14" spans="1:16" ht="23.25" customHeight="1" x14ac:dyDescent="0.3">
      <c r="A14" s="13">
        <v>44</v>
      </c>
      <c r="B14" s="102" t="str">
        <f>'Data 3 Table'!AT3</f>
        <v>Per cent of women aged 20-24, who had given birth, 2021</v>
      </c>
      <c r="C14" s="102"/>
      <c r="D14" s="102"/>
      <c r="E14" s="102"/>
      <c r="F14" s="102"/>
      <c r="G14" s="112">
        <f>VLOOKUP($G$11,'Data 3 Table'!$A$4:$CW$84,2+$A14)</f>
        <v>7.8259092766653051</v>
      </c>
      <c r="H14" s="112"/>
      <c r="I14" s="14"/>
      <c r="J14" s="113">
        <f>VLOOKUP($J$11,'Data 3 Table'!$A$4:$CW$84,2+$A14)</f>
        <v>4.1288689106122556</v>
      </c>
      <c r="K14" s="113"/>
      <c r="M14" s="18">
        <f t="shared" si="0"/>
        <v>89.54123868042177</v>
      </c>
      <c r="N14" s="6"/>
      <c r="O14" s="6"/>
      <c r="P14" s="9"/>
    </row>
    <row r="15" spans="1:16" ht="23.25" customHeight="1" x14ac:dyDescent="0.3">
      <c r="A15" s="13">
        <v>45</v>
      </c>
      <c r="B15" s="94" t="str">
        <f>'Data 3 Table'!AU3</f>
        <v>Female / Male (%): Hours worked at home, 2021</v>
      </c>
      <c r="C15" s="94"/>
      <c r="D15" s="94"/>
      <c r="E15" s="94"/>
      <c r="F15" s="94"/>
      <c r="G15" s="116">
        <f>VLOOKUP($G$11,'Data 3 Table'!$A$4:$CW$84,2+$A15)</f>
        <v>201.22213014247538</v>
      </c>
      <c r="H15" s="116"/>
      <c r="I15" s="14"/>
      <c r="J15" s="117">
        <f>VLOOKUP($J$11,'Data 3 Table'!$A$4:$CW$84,2+$A15)</f>
        <v>176.83443848600322</v>
      </c>
      <c r="K15" s="117"/>
      <c r="M15" s="19">
        <f t="shared" si="0"/>
        <v>13.791256875793731</v>
      </c>
      <c r="N15" s="6"/>
      <c r="O15" s="6"/>
      <c r="P15" s="9"/>
    </row>
    <row r="16" spans="1:16" ht="23.25" customHeight="1" x14ac:dyDescent="0.3">
      <c r="A16" s="13">
        <v>46</v>
      </c>
      <c r="B16" s="102" t="str">
        <f>'Data 3 Table'!AV3</f>
        <v>Male median personal incomes: per cent higher than female incomes, 2021</v>
      </c>
      <c r="C16" s="102"/>
      <c r="D16" s="102"/>
      <c r="E16" s="102"/>
      <c r="F16" s="102"/>
      <c r="G16" s="112">
        <f>VLOOKUP($G$11,'Data 3 Table'!$A$4:$CW$84,2+$A16)</f>
        <v>63.886741245110493</v>
      </c>
      <c r="H16" s="112"/>
      <c r="I16" s="14"/>
      <c r="J16" s="113">
        <f>VLOOKUP($J$11,'Data 3 Table'!$A$4:$CW$84,2+$A16)</f>
        <v>51.159409199083484</v>
      </c>
      <c r="K16" s="113"/>
      <c r="M16" s="18">
        <f t="shared" si="0"/>
        <v>24.877793245225782</v>
      </c>
      <c r="N16" s="6"/>
      <c r="O16" s="6"/>
      <c r="P16" s="9"/>
    </row>
    <row r="17" spans="1:16" ht="23.25" customHeight="1" x14ac:dyDescent="0.3">
      <c r="A17" s="13">
        <v>47</v>
      </c>
      <c r="B17" s="94" t="str">
        <f>'Data 3 Table'!AW3</f>
        <v>Male / Female (%):  Proportion of persons in paid work who hold managerial or professional jobs, 2021</v>
      </c>
      <c r="C17" s="94"/>
      <c r="D17" s="94"/>
      <c r="E17" s="94"/>
      <c r="F17" s="94"/>
      <c r="G17" s="116">
        <f>VLOOKUP($G$11,'Data 3 Table'!$A$4:$CW$84,2+$A17)</f>
        <v>0.87289299318285485</v>
      </c>
      <c r="H17" s="116"/>
      <c r="I17" s="14"/>
      <c r="J17" s="117">
        <f>VLOOKUP($J$11,'Data 3 Table'!$A$4:$CW$84,2+$A17)</f>
        <v>0.96251350224473087</v>
      </c>
      <c r="K17" s="117"/>
      <c r="M17" s="19">
        <f t="shared" si="0"/>
        <v>-9.3110911018772295</v>
      </c>
      <c r="N17" s="6"/>
      <c r="O17" s="6"/>
      <c r="P17" s="9"/>
    </row>
    <row r="18" spans="1:16" ht="23.25" customHeight="1" x14ac:dyDescent="0.3">
      <c r="A18" s="13">
        <v>48</v>
      </c>
      <c r="B18" s="102" t="str">
        <f>'Data 3 Table'!AX3</f>
        <v>Rate of Police callouts to family incidents, 2022/23 [per 100,000 residents]</v>
      </c>
      <c r="C18" s="102"/>
      <c r="D18" s="102"/>
      <c r="E18" s="102"/>
      <c r="F18" s="102"/>
      <c r="G18" s="112">
        <f>VLOOKUP($G$11,'Data 3 Table'!$A$4:$CW$84,2+$A18)</f>
        <v>1667.7042654743714</v>
      </c>
      <c r="H18" s="112"/>
      <c r="I18" s="14"/>
      <c r="J18" s="113">
        <f>VLOOKUP($J$11,'Data 3 Table'!$A$4:$CW$84,2+$A18)</f>
        <v>1202</v>
      </c>
      <c r="K18" s="113"/>
      <c r="M18" s="18">
        <f t="shared" si="0"/>
        <v>38.744115264090794</v>
      </c>
      <c r="N18" s="6"/>
      <c r="O18" s="6"/>
      <c r="P18" s="9"/>
    </row>
    <row r="19" spans="1:16" ht="23.25" customHeight="1" x14ac:dyDescent="0.3">
      <c r="A19" s="13">
        <v>49</v>
      </c>
      <c r="B19" s="94" t="str">
        <f>'Data 3 Table'!AY3</f>
        <v>Male / Female (%): Median hours in paid employment per week, 2021</v>
      </c>
      <c r="C19" s="94"/>
      <c r="D19" s="94"/>
      <c r="E19" s="94"/>
      <c r="F19" s="94"/>
      <c r="G19" s="116">
        <f>VLOOKUP($G$11,'Data 3 Table'!$A$4:$CW$84,2+$A19)</f>
        <v>116.26193209962217</v>
      </c>
      <c r="H19" s="116"/>
      <c r="I19" s="14"/>
      <c r="J19" s="117">
        <f>VLOOKUP($J$11,'Data 3 Table'!$A$4:$CW$84,2+$A19)</f>
        <v>119.15494151859865</v>
      </c>
      <c r="K19" s="117"/>
      <c r="M19" s="19">
        <f t="shared" si="0"/>
        <v>-2.4279391035787734</v>
      </c>
      <c r="N19" s="6"/>
      <c r="O19" s="6"/>
      <c r="P19" s="9"/>
    </row>
    <row r="20" spans="1:16" ht="28" customHeight="1" x14ac:dyDescent="0.3">
      <c r="A20" s="13">
        <v>50</v>
      </c>
      <c r="B20" s="102" t="str">
        <f>'Data 3 Table'!AZ3</f>
        <v>Low Gender Equity Score, 2015</v>
      </c>
      <c r="C20" s="102"/>
      <c r="D20" s="102"/>
      <c r="E20" s="102"/>
      <c r="F20" s="102"/>
      <c r="G20" s="112">
        <f>VLOOKUP($G$11,'Data 3 Table'!$A$4:$CW$84,2+$A20)</f>
        <v>52.5</v>
      </c>
      <c r="H20" s="112"/>
      <c r="I20" s="14"/>
      <c r="J20" s="113">
        <f>VLOOKUP($J$11,'Data 3 Table'!$A$4:$CW$84,2+$A20)</f>
        <v>35.799999999999997</v>
      </c>
      <c r="K20" s="113"/>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42" priority="54" stopIfTrue="1">
      <formula>J8=2</formula>
    </cfRule>
  </conditionalFormatting>
  <conditionalFormatting sqref="M13 M15 M17 M19:M20">
    <cfRule type="expression" dxfId="141" priority="53" stopIfTrue="1">
      <formula>$J$8=1</formula>
    </cfRule>
  </conditionalFormatting>
  <conditionalFormatting sqref="M14 M16 M18">
    <cfRule type="expression" dxfId="140" priority="52" stopIfTrue="1">
      <formula>$J$8=1</formula>
    </cfRule>
  </conditionalFormatting>
  <conditionalFormatting sqref="M13 M15">
    <cfRule type="expression" dxfId="139" priority="51" stopIfTrue="1">
      <formula>$J$8=1</formula>
    </cfRule>
  </conditionalFormatting>
  <conditionalFormatting sqref="M14 M16">
    <cfRule type="expression" dxfId="138" priority="50" stopIfTrue="1">
      <formula>$J$8=1</formula>
    </cfRule>
  </conditionalFormatting>
  <conditionalFormatting sqref="M13 M15">
    <cfRule type="expression" dxfId="137" priority="49" stopIfTrue="1">
      <formula>$J$8=1</formula>
    </cfRule>
  </conditionalFormatting>
  <conditionalFormatting sqref="M14 M16">
    <cfRule type="expression" dxfId="136" priority="48" stopIfTrue="1">
      <formula>$J$8=1</formula>
    </cfRule>
  </conditionalFormatting>
  <conditionalFormatting sqref="M13">
    <cfRule type="expression" dxfId="135" priority="47" stopIfTrue="1">
      <formula>$J$8=1</formula>
    </cfRule>
  </conditionalFormatting>
  <conditionalFormatting sqref="M14">
    <cfRule type="expression" dxfId="134" priority="46" stopIfTrue="1">
      <formula>$J$8=1</formula>
    </cfRule>
  </conditionalFormatting>
  <conditionalFormatting sqref="M13">
    <cfRule type="expression" dxfId="133" priority="45" stopIfTrue="1">
      <formula>$J$8=1</formula>
    </cfRule>
  </conditionalFormatting>
  <conditionalFormatting sqref="M14">
    <cfRule type="expression" dxfId="132" priority="44" stopIfTrue="1">
      <formula>$J$8=1</formula>
    </cfRule>
  </conditionalFormatting>
  <conditionalFormatting sqref="M13">
    <cfRule type="expression" dxfId="131" priority="43" stopIfTrue="1">
      <formula>$J$8=1</formula>
    </cfRule>
  </conditionalFormatting>
  <conditionalFormatting sqref="M14">
    <cfRule type="expression" dxfId="130" priority="42" stopIfTrue="1">
      <formula>$J$8=1</formula>
    </cfRule>
  </conditionalFormatting>
  <conditionalFormatting sqref="M13:M14">
    <cfRule type="expression" dxfId="129" priority="41" stopIfTrue="1">
      <formula>$J$8=1</formula>
    </cfRule>
  </conditionalFormatting>
  <conditionalFormatting sqref="M14">
    <cfRule type="expression" dxfId="128" priority="40" stopIfTrue="1">
      <formula>$J$8=1</formula>
    </cfRule>
  </conditionalFormatting>
  <conditionalFormatting sqref="M13:M14">
    <cfRule type="expression" dxfId="127" priority="39" stopIfTrue="1">
      <formula>$N$1=2</formula>
    </cfRule>
  </conditionalFormatting>
  <conditionalFormatting sqref="M15">
    <cfRule type="expression" dxfId="126" priority="38" stopIfTrue="1">
      <formula>$J$8=1</formula>
    </cfRule>
  </conditionalFormatting>
  <conditionalFormatting sqref="M16">
    <cfRule type="expression" dxfId="125" priority="37" stopIfTrue="1">
      <formula>$J$8=1</formula>
    </cfRule>
  </conditionalFormatting>
  <conditionalFormatting sqref="M15">
    <cfRule type="expression" dxfId="124" priority="36" stopIfTrue="1">
      <formula>$J$8=1</formula>
    </cfRule>
  </conditionalFormatting>
  <conditionalFormatting sqref="M16">
    <cfRule type="expression" dxfId="123" priority="35" stopIfTrue="1">
      <formula>$J$8=1</formula>
    </cfRule>
  </conditionalFormatting>
  <conditionalFormatting sqref="M15">
    <cfRule type="expression" dxfId="122" priority="34" stopIfTrue="1">
      <formula>$J$8=1</formula>
    </cfRule>
  </conditionalFormatting>
  <conditionalFormatting sqref="M16">
    <cfRule type="expression" dxfId="121" priority="33" stopIfTrue="1">
      <formula>$J$8=1</formula>
    </cfRule>
  </conditionalFormatting>
  <conditionalFormatting sqref="M15:M16">
    <cfRule type="expression" dxfId="120" priority="32" stopIfTrue="1">
      <formula>$J$8=1</formula>
    </cfRule>
  </conditionalFormatting>
  <conditionalFormatting sqref="M16">
    <cfRule type="expression" dxfId="119" priority="31" stopIfTrue="1">
      <formula>$J$8=1</formula>
    </cfRule>
  </conditionalFormatting>
  <conditionalFormatting sqref="M15:M16">
    <cfRule type="expression" dxfId="118" priority="30" stopIfTrue="1">
      <formula>$N$1=2</formula>
    </cfRule>
  </conditionalFormatting>
  <conditionalFormatting sqref="M17">
    <cfRule type="expression" dxfId="117" priority="29" stopIfTrue="1">
      <formula>$J$8=1</formula>
    </cfRule>
  </conditionalFormatting>
  <conditionalFormatting sqref="M18">
    <cfRule type="expression" dxfId="116" priority="28" stopIfTrue="1">
      <formula>$J$8=1</formula>
    </cfRule>
  </conditionalFormatting>
  <conditionalFormatting sqref="M17">
    <cfRule type="expression" dxfId="115" priority="27" stopIfTrue="1">
      <formula>$J$8=1</formula>
    </cfRule>
  </conditionalFormatting>
  <conditionalFormatting sqref="M18">
    <cfRule type="expression" dxfId="114" priority="26" stopIfTrue="1">
      <formula>$J$8=1</formula>
    </cfRule>
  </conditionalFormatting>
  <conditionalFormatting sqref="M17">
    <cfRule type="expression" dxfId="113" priority="25" stopIfTrue="1">
      <formula>$J$8=1</formula>
    </cfRule>
  </conditionalFormatting>
  <conditionalFormatting sqref="M18">
    <cfRule type="expression" dxfId="112" priority="24" stopIfTrue="1">
      <formula>$J$8=1</formula>
    </cfRule>
  </conditionalFormatting>
  <conditionalFormatting sqref="M17">
    <cfRule type="expression" dxfId="111" priority="23" stopIfTrue="1">
      <formula>$J$8=1</formula>
    </cfRule>
  </conditionalFormatting>
  <conditionalFormatting sqref="M18">
    <cfRule type="expression" dxfId="110" priority="22" stopIfTrue="1">
      <formula>$J$8=1</formula>
    </cfRule>
  </conditionalFormatting>
  <conditionalFormatting sqref="M17">
    <cfRule type="expression" dxfId="109" priority="21" stopIfTrue="1">
      <formula>$J$8=1</formula>
    </cfRule>
  </conditionalFormatting>
  <conditionalFormatting sqref="M18">
    <cfRule type="expression" dxfId="108" priority="20" stopIfTrue="1">
      <formula>$J$8=1</formula>
    </cfRule>
  </conditionalFormatting>
  <conditionalFormatting sqref="M17:M18">
    <cfRule type="expression" dxfId="107" priority="19" stopIfTrue="1">
      <formula>$J$8=1</formula>
    </cfRule>
  </conditionalFormatting>
  <conditionalFormatting sqref="M18">
    <cfRule type="expression" dxfId="106" priority="18" stopIfTrue="1">
      <formula>$J$8=1</formula>
    </cfRule>
  </conditionalFormatting>
  <conditionalFormatting sqref="M17:M18">
    <cfRule type="expression" dxfId="105" priority="17" stopIfTrue="1">
      <formula>$N$1=2</formula>
    </cfRule>
  </conditionalFormatting>
  <conditionalFormatting sqref="M19:M20">
    <cfRule type="expression" dxfId="104" priority="16" stopIfTrue="1">
      <formula>$J$8=1</formula>
    </cfRule>
  </conditionalFormatting>
  <conditionalFormatting sqref="M19:M20">
    <cfRule type="expression" dxfId="103" priority="15" stopIfTrue="1">
      <formula>$J$8=1</formula>
    </cfRule>
  </conditionalFormatting>
  <conditionalFormatting sqref="M19:M20">
    <cfRule type="expression" dxfId="102" priority="14" stopIfTrue="1">
      <formula>$J$8=1</formula>
    </cfRule>
  </conditionalFormatting>
  <conditionalFormatting sqref="M19:M20">
    <cfRule type="expression" dxfId="101" priority="13" stopIfTrue="1">
      <formula>$J$8=1</formula>
    </cfRule>
  </conditionalFormatting>
  <conditionalFormatting sqref="M19:M20">
    <cfRule type="expression" dxfId="100" priority="12" stopIfTrue="1">
      <formula>$J$8=1</formula>
    </cfRule>
  </conditionalFormatting>
  <conditionalFormatting sqref="M19:M20">
    <cfRule type="expression" dxfId="99" priority="11" stopIfTrue="1">
      <formula>$J$8=1</formula>
    </cfRule>
  </conditionalFormatting>
  <conditionalFormatting sqref="M19:M20">
    <cfRule type="expression" dxfId="98" priority="10" stopIfTrue="1">
      <formula>$N$1=2</formula>
    </cfRule>
  </conditionalFormatting>
  <conditionalFormatting sqref="M20">
    <cfRule type="expression" dxfId="97" priority="9" stopIfTrue="1">
      <formula>$J$8=1</formula>
    </cfRule>
  </conditionalFormatting>
  <conditionalFormatting sqref="M20">
    <cfRule type="expression" dxfId="96" priority="8" stopIfTrue="1">
      <formula>$J$8=1</formula>
    </cfRule>
  </conditionalFormatting>
  <conditionalFormatting sqref="M20">
    <cfRule type="expression" dxfId="95" priority="7" stopIfTrue="1">
      <formula>$J$8=1</formula>
    </cfRule>
  </conditionalFormatting>
  <conditionalFormatting sqref="M20">
    <cfRule type="expression" dxfId="94" priority="6" stopIfTrue="1">
      <formula>$J$8=1</formula>
    </cfRule>
  </conditionalFormatting>
  <conditionalFormatting sqref="M20">
    <cfRule type="expression" dxfId="93" priority="5" stopIfTrue="1">
      <formula>$J$8=1</formula>
    </cfRule>
  </conditionalFormatting>
  <conditionalFormatting sqref="M20">
    <cfRule type="expression" dxfId="92" priority="4" stopIfTrue="1">
      <formula>$J$8=1</formula>
    </cfRule>
  </conditionalFormatting>
  <conditionalFormatting sqref="M20">
    <cfRule type="expression" dxfId="91" priority="3" stopIfTrue="1">
      <formula>$J$8=1</formula>
    </cfRule>
  </conditionalFormatting>
  <conditionalFormatting sqref="M20">
    <cfRule type="expression" dxfId="90" priority="2" stopIfTrue="1">
      <formula>$J$8=1</formula>
    </cfRule>
  </conditionalFormatting>
  <conditionalFormatting sqref="M20">
    <cfRule type="expression" dxfId="89" priority="1" stopIfTrue="1">
      <formula>$N$1=2</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7" sqref="O17"/>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8" t="s">
        <v>80</v>
      </c>
      <c r="C7" s="98"/>
      <c r="D7" s="98"/>
      <c r="E7" s="98"/>
      <c r="F7" s="98"/>
      <c r="G7" s="98"/>
      <c r="H7" s="98"/>
      <c r="I7" s="98"/>
      <c r="J7" s="98"/>
      <c r="K7" s="98"/>
      <c r="L7" s="2"/>
    </row>
    <row r="8" spans="1:16"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6" ht="3" customHeight="1" x14ac:dyDescent="0.3">
      <c r="G9" s="9"/>
      <c r="H9" s="9"/>
      <c r="I9" s="9"/>
      <c r="J9" s="9"/>
      <c r="M9" s="100"/>
      <c r="N9" s="100"/>
    </row>
    <row r="10" spans="1:16" ht="13.5" customHeight="1" x14ac:dyDescent="0.35">
      <c r="F10" s="3"/>
      <c r="G10" s="111"/>
      <c r="H10" s="111"/>
      <c r="I10" s="111"/>
      <c r="J10" s="111"/>
      <c r="K10" s="111"/>
      <c r="M10" s="100"/>
      <c r="N10" s="100"/>
    </row>
    <row r="11" spans="1:16" ht="15" customHeight="1" x14ac:dyDescent="0.3">
      <c r="A11" s="8"/>
      <c r="G11" s="11">
        <f>Community!H11</f>
        <v>26</v>
      </c>
      <c r="H11" s="9"/>
      <c r="I11" s="9"/>
      <c r="J11" s="11">
        <f>Community!J11</f>
        <v>80</v>
      </c>
      <c r="M11" s="100"/>
      <c r="N11" s="100"/>
    </row>
    <row r="12" spans="1:16" ht="16.5" customHeight="1" x14ac:dyDescent="0.35">
      <c r="A12" s="8"/>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6" ht="23.25" customHeight="1" x14ac:dyDescent="0.3">
      <c r="A13" s="13">
        <v>37</v>
      </c>
      <c r="B13" s="94" t="str">
        <f>'Data 3 Table'!AM3</f>
        <v>Per cent of 2-parent families with children aged less than 15, which possess fewer than 2 cars, 2021</v>
      </c>
      <c r="C13" s="94"/>
      <c r="D13" s="94"/>
      <c r="E13" s="94"/>
      <c r="F13" s="94"/>
      <c r="G13" s="116">
        <f>VLOOKUP($G$11,'Data 3 Table'!$A$4:$CW$84,2+$A13)</f>
        <v>19.053417332839217</v>
      </c>
      <c r="H13" s="116"/>
      <c r="I13" s="14"/>
      <c r="J13" s="117">
        <f>VLOOKUP($J$11,'Data 3 Table'!$A$4:$CW$84,2+$A13)</f>
        <v>20.382140543227528</v>
      </c>
      <c r="K13" s="117"/>
      <c r="M13" s="19">
        <f t="shared" ref="M13:M18" si="0">(G13-J13)/J13*100</f>
        <v>-6.5190562667855447</v>
      </c>
      <c r="N13" s="6"/>
      <c r="O13" s="6"/>
      <c r="P13" s="8"/>
    </row>
    <row r="14" spans="1:16" ht="23.25" customHeight="1" x14ac:dyDescent="0.3">
      <c r="A14" s="13">
        <v>83</v>
      </c>
      <c r="B14" s="102" t="str">
        <f>'Data 3 Table'!CG3</f>
        <v>Per cent adults who walked for Transport, for trips longer than 10 mins, on four or more days during the past week: 2014</v>
      </c>
      <c r="C14" s="102"/>
      <c r="D14" s="102"/>
      <c r="E14" s="102"/>
      <c r="F14" s="102"/>
      <c r="G14" s="112">
        <f>VLOOKUP($G$11,'Data 3 Table'!$A$4:$CW$84,2+$A14)</f>
        <v>14.1</v>
      </c>
      <c r="H14" s="112"/>
      <c r="I14" s="14"/>
      <c r="J14" s="113">
        <f>VLOOKUP($J$11,'Data 3 Table'!$A$4:$CW$84,2+$A14)</f>
        <v>20.296774193548384</v>
      </c>
      <c r="K14" s="113"/>
      <c r="M14" s="18">
        <f t="shared" si="0"/>
        <v>-30.530832803560067</v>
      </c>
      <c r="N14" s="6"/>
      <c r="O14" s="6"/>
      <c r="P14" s="8"/>
    </row>
    <row r="15" spans="1:16" ht="23.25" customHeight="1" x14ac:dyDescent="0.3">
      <c r="A15" s="13">
        <v>84</v>
      </c>
      <c r="B15" s="94" t="str">
        <f>'Data 3 Table'!CH3</f>
        <v>Proportion of Highly Walkable Primary Schools  - index score - 2012</v>
      </c>
      <c r="C15" s="94"/>
      <c r="D15" s="94"/>
      <c r="E15" s="94"/>
      <c r="F15" s="94"/>
      <c r="G15" s="109">
        <f>VLOOKUP($G$11,'Data 3 Table'!$A$4:$CW$84,2+$A15)</f>
        <v>1.1000000000000001</v>
      </c>
      <c r="H15" s="109"/>
      <c r="I15" s="14"/>
      <c r="J15" s="110">
        <f>VLOOKUP($J$11,'Data 3 Table'!$A$4:$CW$84,2+$A15)</f>
        <v>1</v>
      </c>
      <c r="K15" s="110"/>
      <c r="M15" s="19">
        <f t="shared" si="0"/>
        <v>10.000000000000009</v>
      </c>
      <c r="N15" s="6"/>
      <c r="O15" s="6"/>
      <c r="P15" s="8"/>
    </row>
    <row r="16" spans="1:16" ht="23.25" customHeight="1" x14ac:dyDescent="0.3">
      <c r="A16" s="13">
        <v>85</v>
      </c>
      <c r="B16" s="102" t="str">
        <f>'Data 3 Table'!CI3</f>
        <v>Per cent of adults who cycled for transport for trips longer than 10 minutes last week, 2014</v>
      </c>
      <c r="C16" s="102"/>
      <c r="D16" s="102"/>
      <c r="E16" s="102"/>
      <c r="F16" s="102"/>
      <c r="G16" s="114">
        <f>VLOOKUP($G$11,'Data 3 Table'!$A$4:$CW$84,2+$A16)</f>
        <v>2.9000000000000057</v>
      </c>
      <c r="H16" s="114"/>
      <c r="I16" s="14"/>
      <c r="J16" s="115">
        <f>VLOOKUP($J$11,'Data 3 Table'!$A$4:$CW$84,2+$A16)</f>
        <v>7.6032258064516141</v>
      </c>
      <c r="K16" s="115"/>
      <c r="M16" s="18">
        <f t="shared" si="0"/>
        <v>-61.858294442087328</v>
      </c>
      <c r="N16" s="6"/>
      <c r="O16" s="6"/>
      <c r="P16" s="8"/>
    </row>
    <row r="17" spans="1:16" ht="23.25" customHeight="1" x14ac:dyDescent="0.3">
      <c r="A17" s="13">
        <v>86</v>
      </c>
      <c r="B17" s="94" t="str">
        <f>'Data 3 Table'!CJ3</f>
        <v>Per cent of persons travelling to work, who travel 2 or more hours per day, 2012</v>
      </c>
      <c r="C17" s="94"/>
      <c r="D17" s="94"/>
      <c r="E17" s="94"/>
      <c r="F17" s="94"/>
      <c r="G17" s="109">
        <f>VLOOKUP($G$11,'Data 3 Table'!$A$4:$CW$84,2+$A17)</f>
        <v>10.3</v>
      </c>
      <c r="H17" s="109"/>
      <c r="I17" s="14"/>
      <c r="J17" s="110">
        <f>VLOOKUP($J$11,'Data 3 Table'!$A$4:$CW$84,2+$A17)</f>
        <v>13.25483870967742</v>
      </c>
      <c r="K17" s="110"/>
      <c r="M17" s="19">
        <f t="shared" si="0"/>
        <v>-22.292528595765393</v>
      </c>
      <c r="N17" s="6"/>
      <c r="O17" s="6"/>
      <c r="P17" s="8"/>
    </row>
    <row r="18" spans="1:16" ht="23.25" customHeight="1" x14ac:dyDescent="0.3">
      <c r="A18" s="13">
        <v>87</v>
      </c>
      <c r="B18" s="107" t="str">
        <f>'Data 3 Table'!CK3</f>
        <v>Per cent of those residents who travelled to work who did so by public transport, walking or cycling, 2021</v>
      </c>
      <c r="C18" s="102"/>
      <c r="D18" s="102"/>
      <c r="E18" s="102"/>
      <c r="F18" s="102"/>
      <c r="G18" s="114">
        <f>VLOOKUP($G$11,'Data 3 Table'!$A$4:$CW$84,2+$A18)</f>
        <v>7.9673116303994176</v>
      </c>
      <c r="H18" s="114"/>
      <c r="I18" s="14"/>
      <c r="J18" s="115">
        <f>VLOOKUP($J$11,'Data 3 Table'!$A$4:$CW$84,2+$A18)</f>
        <v>14.206808010524016</v>
      </c>
      <c r="K18" s="115"/>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88" priority="89" stopIfTrue="1">
      <formula>J8=2</formula>
    </cfRule>
  </conditionalFormatting>
  <conditionalFormatting sqref="M16 M18 M13:M14">
    <cfRule type="expression" dxfId="87" priority="88" stopIfTrue="1">
      <formula>$J$8=1</formula>
    </cfRule>
  </conditionalFormatting>
  <conditionalFormatting sqref="M15 M17">
    <cfRule type="expression" dxfId="86" priority="87" stopIfTrue="1">
      <formula>$J$8=1</formula>
    </cfRule>
  </conditionalFormatting>
  <conditionalFormatting sqref="M13">
    <cfRule type="expression" dxfId="85" priority="84" stopIfTrue="1">
      <formula>$J$8=1</formula>
    </cfRule>
  </conditionalFormatting>
  <conditionalFormatting sqref="M14">
    <cfRule type="expression" dxfId="84" priority="83" stopIfTrue="1">
      <formula>$J$8=1</formula>
    </cfRule>
  </conditionalFormatting>
  <conditionalFormatting sqref="M15">
    <cfRule type="expression" dxfId="83" priority="82" stopIfTrue="1">
      <formula>$J$8=1</formula>
    </cfRule>
  </conditionalFormatting>
  <conditionalFormatting sqref="M16">
    <cfRule type="expression" dxfId="82" priority="81" stopIfTrue="1">
      <formula>$J$8=1</formula>
    </cfRule>
  </conditionalFormatting>
  <conditionalFormatting sqref="M17">
    <cfRule type="expression" dxfId="81" priority="80" stopIfTrue="1">
      <formula>$J$8=1</formula>
    </cfRule>
  </conditionalFormatting>
  <conditionalFormatting sqref="M18">
    <cfRule type="expression" dxfId="80" priority="79" stopIfTrue="1">
      <formula>$J$8=1</formula>
    </cfRule>
  </conditionalFormatting>
  <conditionalFormatting sqref="M13 M15 M17">
    <cfRule type="expression" dxfId="79" priority="75" stopIfTrue="1">
      <formula>$J$8=1</formula>
    </cfRule>
  </conditionalFormatting>
  <conditionalFormatting sqref="M14 M16 M18">
    <cfRule type="expression" dxfId="78" priority="74" stopIfTrue="1">
      <formula>$J$8=1</formula>
    </cfRule>
  </conditionalFormatting>
  <conditionalFormatting sqref="M13 M15 M17">
    <cfRule type="expression" dxfId="77" priority="73" stopIfTrue="1">
      <formula>$J$8=1</formula>
    </cfRule>
  </conditionalFormatting>
  <conditionalFormatting sqref="M14 M16 M18">
    <cfRule type="expression" dxfId="76" priority="72" stopIfTrue="1">
      <formula>$J$8=1</formula>
    </cfRule>
  </conditionalFormatting>
  <conditionalFormatting sqref="M13 M15 M17">
    <cfRule type="expression" dxfId="75" priority="71" stopIfTrue="1">
      <formula>$J$8=1</formula>
    </cfRule>
  </conditionalFormatting>
  <conditionalFormatting sqref="M14 M16 M18">
    <cfRule type="expression" dxfId="74" priority="70" stopIfTrue="1">
      <formula>$J$8=1</formula>
    </cfRule>
  </conditionalFormatting>
  <conditionalFormatting sqref="M13 M15 M17">
    <cfRule type="expression" dxfId="73" priority="69" stopIfTrue="1">
      <formula>$J$8=1</formula>
    </cfRule>
  </conditionalFormatting>
  <conditionalFormatting sqref="M14 M16 M18">
    <cfRule type="expression" dxfId="72" priority="68" stopIfTrue="1">
      <formula>$J$8=1</formula>
    </cfRule>
  </conditionalFormatting>
  <conditionalFormatting sqref="M13 M15 M17">
    <cfRule type="expression" dxfId="71" priority="67" stopIfTrue="1">
      <formula>$J$8=1</formula>
    </cfRule>
  </conditionalFormatting>
  <conditionalFormatting sqref="M14 M16 M18">
    <cfRule type="expression" dxfId="70" priority="66" stopIfTrue="1">
      <formula>$J$8=1</formula>
    </cfRule>
  </conditionalFormatting>
  <conditionalFormatting sqref="M13 M15 M17">
    <cfRule type="expression" dxfId="69" priority="65" stopIfTrue="1">
      <formula>$J$8=1</formula>
    </cfRule>
  </conditionalFormatting>
  <conditionalFormatting sqref="M14 M16 M18">
    <cfRule type="expression" dxfId="68" priority="64" stopIfTrue="1">
      <formula>$J$8=1</formula>
    </cfRule>
  </conditionalFormatting>
  <conditionalFormatting sqref="M13:M18">
    <cfRule type="expression" dxfId="67" priority="63" stopIfTrue="1">
      <formula>$J$8=1</formula>
    </cfRule>
  </conditionalFormatting>
  <conditionalFormatting sqref="M14 M16 M18">
    <cfRule type="expression" dxfId="66" priority="62" stopIfTrue="1">
      <formula>$J$8=1</formula>
    </cfRule>
  </conditionalFormatting>
  <conditionalFormatting sqref="M13:M18">
    <cfRule type="expression" dxfId="65" priority="61" stopIfTrue="1">
      <formula>$N$1=2</formula>
    </cfRule>
  </conditionalFormatting>
  <conditionalFormatting sqref="M13 M15 M17">
    <cfRule type="expression" dxfId="64" priority="60" stopIfTrue="1">
      <formula>$J$8=1</formula>
    </cfRule>
  </conditionalFormatting>
  <conditionalFormatting sqref="M14 M16 M18">
    <cfRule type="expression" dxfId="63" priority="59" stopIfTrue="1">
      <formula>$J$8=1</formula>
    </cfRule>
  </conditionalFormatting>
  <conditionalFormatting sqref="M13 M15 M17">
    <cfRule type="expression" dxfId="62" priority="58" stopIfTrue="1">
      <formula>$J$8=1</formula>
    </cfRule>
  </conditionalFormatting>
  <conditionalFormatting sqref="M14 M16 M18">
    <cfRule type="expression" dxfId="61" priority="57" stopIfTrue="1">
      <formula>$J$8=1</formula>
    </cfRule>
  </conditionalFormatting>
  <conditionalFormatting sqref="M13 M15 M17">
    <cfRule type="expression" dxfId="60" priority="56" stopIfTrue="1">
      <formula>$J$8=1</formula>
    </cfRule>
  </conditionalFormatting>
  <conditionalFormatting sqref="M14 M16 M18">
    <cfRule type="expression" dxfId="59" priority="55" stopIfTrue="1">
      <formula>$J$8=1</formula>
    </cfRule>
  </conditionalFormatting>
  <conditionalFormatting sqref="M13 M15 M17">
    <cfRule type="expression" dxfId="58" priority="54" stopIfTrue="1">
      <formula>$J$8=1</formula>
    </cfRule>
  </conditionalFormatting>
  <conditionalFormatting sqref="M14 M16 M18">
    <cfRule type="expression" dxfId="57" priority="53" stopIfTrue="1">
      <formula>$J$8=1</formula>
    </cfRule>
  </conditionalFormatting>
  <conditionalFormatting sqref="M13 M15 M17">
    <cfRule type="expression" dxfId="56" priority="52" stopIfTrue="1">
      <formula>$J$8=1</formula>
    </cfRule>
  </conditionalFormatting>
  <conditionalFormatting sqref="M14 M16 M18">
    <cfRule type="expression" dxfId="55" priority="51" stopIfTrue="1">
      <formula>$J$8=1</formula>
    </cfRule>
  </conditionalFormatting>
  <conditionalFormatting sqref="M13 M15 M17">
    <cfRule type="expression" dxfId="54" priority="50" stopIfTrue="1">
      <formula>$J$8=1</formula>
    </cfRule>
  </conditionalFormatting>
  <conditionalFormatting sqref="M14 M16 M18">
    <cfRule type="expression" dxfId="53" priority="49" stopIfTrue="1">
      <formula>$J$8=1</formula>
    </cfRule>
  </conditionalFormatting>
  <conditionalFormatting sqref="M13:M18">
    <cfRule type="expression" dxfId="52" priority="48" stopIfTrue="1">
      <formula>$J$8=1</formula>
    </cfRule>
  </conditionalFormatting>
  <conditionalFormatting sqref="M14 M16 M18">
    <cfRule type="expression" dxfId="51" priority="47" stopIfTrue="1">
      <formula>$J$8=1</formula>
    </cfRule>
  </conditionalFormatting>
  <conditionalFormatting sqref="M13:M18">
    <cfRule type="expression" dxfId="50" priority="46" stopIfTrue="1">
      <formula>$N$1=2</formula>
    </cfRule>
  </conditionalFormatting>
  <conditionalFormatting sqref="M13">
    <cfRule type="expression" dxfId="49" priority="45" stopIfTrue="1">
      <formula>$J$8=1</formula>
    </cfRule>
  </conditionalFormatting>
  <conditionalFormatting sqref="M14">
    <cfRule type="expression" dxfId="48" priority="44" stopIfTrue="1">
      <formula>$J$8=1</formula>
    </cfRule>
  </conditionalFormatting>
  <conditionalFormatting sqref="M13">
    <cfRule type="expression" dxfId="47" priority="43" stopIfTrue="1">
      <formula>$J$8=1</formula>
    </cfRule>
  </conditionalFormatting>
  <conditionalFormatting sqref="M14">
    <cfRule type="expression" dxfId="46" priority="42" stopIfTrue="1">
      <formula>$J$8=1</formula>
    </cfRule>
  </conditionalFormatting>
  <conditionalFormatting sqref="M13">
    <cfRule type="expression" dxfId="45" priority="41" stopIfTrue="1">
      <formula>$J$8=1</formula>
    </cfRule>
  </conditionalFormatting>
  <conditionalFormatting sqref="M14">
    <cfRule type="expression" dxfId="44" priority="40" stopIfTrue="1">
      <formula>$J$8=1</formula>
    </cfRule>
  </conditionalFormatting>
  <conditionalFormatting sqref="M13">
    <cfRule type="expression" dxfId="43" priority="39" stopIfTrue="1">
      <formula>$J$8=1</formula>
    </cfRule>
  </conditionalFormatting>
  <conditionalFormatting sqref="M14">
    <cfRule type="expression" dxfId="42" priority="38" stopIfTrue="1">
      <formula>$J$8=1</formula>
    </cfRule>
  </conditionalFormatting>
  <conditionalFormatting sqref="M13">
    <cfRule type="expression" dxfId="41" priority="37" stopIfTrue="1">
      <formula>$J$8=1</formula>
    </cfRule>
  </conditionalFormatting>
  <conditionalFormatting sqref="M14">
    <cfRule type="expression" dxfId="40" priority="36" stopIfTrue="1">
      <formula>$J$8=1</formula>
    </cfRule>
  </conditionalFormatting>
  <conditionalFormatting sqref="M13">
    <cfRule type="expression" dxfId="39" priority="35" stopIfTrue="1">
      <formula>$J$8=1</formula>
    </cfRule>
  </conditionalFormatting>
  <conditionalFormatting sqref="M14">
    <cfRule type="expression" dxfId="38" priority="34" stopIfTrue="1">
      <formula>$J$8=1</formula>
    </cfRule>
  </conditionalFormatting>
  <conditionalFormatting sqref="M13:M14">
    <cfRule type="expression" dxfId="37" priority="33" stopIfTrue="1">
      <formula>$J$8=1</formula>
    </cfRule>
  </conditionalFormatting>
  <conditionalFormatting sqref="M14">
    <cfRule type="expression" dxfId="36" priority="32" stopIfTrue="1">
      <formula>$J$8=1</formula>
    </cfRule>
  </conditionalFormatting>
  <conditionalFormatting sqref="M13:M14">
    <cfRule type="expression" dxfId="35" priority="31" stopIfTrue="1">
      <formula>$N$1=2</formula>
    </cfRule>
  </conditionalFormatting>
  <conditionalFormatting sqref="M15">
    <cfRule type="expression" dxfId="34" priority="30" stopIfTrue="1">
      <formula>$J$8=1</formula>
    </cfRule>
  </conditionalFormatting>
  <conditionalFormatting sqref="M16">
    <cfRule type="expression" dxfId="33" priority="29" stopIfTrue="1">
      <formula>$J$8=1</formula>
    </cfRule>
  </conditionalFormatting>
  <conditionalFormatting sqref="M15">
    <cfRule type="expression" dxfId="32" priority="28" stopIfTrue="1">
      <formula>$J$8=1</formula>
    </cfRule>
  </conditionalFormatting>
  <conditionalFormatting sqref="M16">
    <cfRule type="expression" dxfId="31" priority="27" stopIfTrue="1">
      <formula>$J$8=1</formula>
    </cfRule>
  </conditionalFormatting>
  <conditionalFormatting sqref="M15">
    <cfRule type="expression" dxfId="30" priority="26" stopIfTrue="1">
      <formula>$J$8=1</formula>
    </cfRule>
  </conditionalFormatting>
  <conditionalFormatting sqref="M16">
    <cfRule type="expression" dxfId="29" priority="25" stopIfTrue="1">
      <formula>$J$8=1</formula>
    </cfRule>
  </conditionalFormatting>
  <conditionalFormatting sqref="M15">
    <cfRule type="expression" dxfId="28" priority="24" stopIfTrue="1">
      <formula>$J$8=1</formula>
    </cfRule>
  </conditionalFormatting>
  <conditionalFormatting sqref="M16">
    <cfRule type="expression" dxfId="27" priority="23" stopIfTrue="1">
      <formula>$J$8=1</formula>
    </cfRule>
  </conditionalFormatting>
  <conditionalFormatting sqref="M15">
    <cfRule type="expression" dxfId="26" priority="22" stopIfTrue="1">
      <formula>$J$8=1</formula>
    </cfRule>
  </conditionalFormatting>
  <conditionalFormatting sqref="M16">
    <cfRule type="expression" dxfId="25" priority="21" stopIfTrue="1">
      <formula>$J$8=1</formula>
    </cfRule>
  </conditionalFormatting>
  <conditionalFormatting sqref="M15">
    <cfRule type="expression" dxfId="24" priority="20" stopIfTrue="1">
      <formula>$J$8=1</formula>
    </cfRule>
  </conditionalFormatting>
  <conditionalFormatting sqref="M16">
    <cfRule type="expression" dxfId="23" priority="19" stopIfTrue="1">
      <formula>$J$8=1</formula>
    </cfRule>
  </conditionalFormatting>
  <conditionalFormatting sqref="M15:M16">
    <cfRule type="expression" dxfId="22" priority="18" stopIfTrue="1">
      <formula>$J$8=1</formula>
    </cfRule>
  </conditionalFormatting>
  <conditionalFormatting sqref="M16">
    <cfRule type="expression" dxfId="21" priority="17" stopIfTrue="1">
      <formula>$J$8=1</formula>
    </cfRule>
  </conditionalFormatting>
  <conditionalFormatting sqref="M15:M16">
    <cfRule type="expression" dxfId="20" priority="16" stopIfTrue="1">
      <formula>$N$1=2</formula>
    </cfRule>
  </conditionalFormatting>
  <conditionalFormatting sqref="M17">
    <cfRule type="expression" dxfId="19" priority="15" stopIfTrue="1">
      <formula>$J$8=1</formula>
    </cfRule>
  </conditionalFormatting>
  <conditionalFormatting sqref="M18">
    <cfRule type="expression" dxfId="18" priority="14" stopIfTrue="1">
      <formula>$J$8=1</formula>
    </cfRule>
  </conditionalFormatting>
  <conditionalFormatting sqref="M17">
    <cfRule type="expression" dxfId="17" priority="13" stopIfTrue="1">
      <formula>$J$8=1</formula>
    </cfRule>
  </conditionalFormatting>
  <conditionalFormatting sqref="M18">
    <cfRule type="expression" dxfId="16" priority="12" stopIfTrue="1">
      <formula>$J$8=1</formula>
    </cfRule>
  </conditionalFormatting>
  <conditionalFormatting sqref="M17">
    <cfRule type="expression" dxfId="15" priority="11" stopIfTrue="1">
      <formula>$J$8=1</formula>
    </cfRule>
  </conditionalFormatting>
  <conditionalFormatting sqref="M18">
    <cfRule type="expression" dxfId="14" priority="10" stopIfTrue="1">
      <formula>$J$8=1</formula>
    </cfRule>
  </conditionalFormatting>
  <conditionalFormatting sqref="M17">
    <cfRule type="expression" dxfId="13" priority="9" stopIfTrue="1">
      <formula>$J$8=1</formula>
    </cfRule>
  </conditionalFormatting>
  <conditionalFormatting sqref="M18">
    <cfRule type="expression" dxfId="12" priority="8" stopIfTrue="1">
      <formula>$J$8=1</formula>
    </cfRule>
  </conditionalFormatting>
  <conditionalFormatting sqref="M17">
    <cfRule type="expression" dxfId="11" priority="7" stopIfTrue="1">
      <formula>$J$8=1</formula>
    </cfRule>
  </conditionalFormatting>
  <conditionalFormatting sqref="M18">
    <cfRule type="expression" dxfId="10" priority="6" stopIfTrue="1">
      <formula>$J$8=1</formula>
    </cfRule>
  </conditionalFormatting>
  <conditionalFormatting sqref="M17">
    <cfRule type="expression" dxfId="9" priority="5" stopIfTrue="1">
      <formula>$J$8=1</formula>
    </cfRule>
  </conditionalFormatting>
  <conditionalFormatting sqref="M18">
    <cfRule type="expression" dxfId="8" priority="4" stopIfTrue="1">
      <formula>$J$8=1</formula>
    </cfRule>
  </conditionalFormatting>
  <conditionalFormatting sqref="M17:M18">
    <cfRule type="expression" dxfId="7" priority="3" stopIfTrue="1">
      <formula>$J$8=1</formula>
    </cfRule>
  </conditionalFormatting>
  <conditionalFormatting sqref="M18">
    <cfRule type="expression" dxfId="6" priority="2" stopIfTrue="1">
      <formula>$J$8=1</formula>
    </cfRule>
  </conditionalFormatting>
  <conditionalFormatting sqref="M17:M18">
    <cfRule type="expression" dxfId="5" priority="1" stopIfTrue="1">
      <formula>$N$1=2</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workbookViewId="0">
      <pane xSplit="14" ySplit="12" topLeftCell="O13" activePane="bottomRight" state="frozen"/>
      <selection activeCell="O17" sqref="O17"/>
      <selection pane="topRight" activeCell="O17" sqref="O17"/>
      <selection pane="bottomLeft" activeCell="O17" sqref="O17"/>
      <selection pane="bottomRight" activeCell="O18" sqref="O18"/>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8" t="s">
        <v>81</v>
      </c>
      <c r="C7" s="98"/>
      <c r="D7" s="98"/>
      <c r="E7" s="98"/>
      <c r="F7" s="98"/>
      <c r="G7" s="98"/>
      <c r="H7" s="98"/>
      <c r="I7" s="98"/>
      <c r="J7" s="98"/>
      <c r="K7" s="98"/>
      <c r="L7" s="2"/>
    </row>
    <row r="8" spans="1:17" x14ac:dyDescent="0.3">
      <c r="C8" s="3"/>
      <c r="G8" s="9"/>
      <c r="H8" s="9"/>
      <c r="I8" s="9"/>
      <c r="J8" s="9">
        <f>Community!K11</f>
        <v>1</v>
      </c>
      <c r="M8" s="100" t="str">
        <f>IF(Community!$K$11=1,CONCATENATE(G12,": per cent higher or lower than ",J12),"")</f>
        <v xml:space="preserve">Greater Dandenong : per cent higher or lower than Greater Melbourne </v>
      </c>
      <c r="N8" s="100"/>
    </row>
    <row r="9" spans="1:17" ht="3" customHeight="1" x14ac:dyDescent="0.3">
      <c r="G9" s="9"/>
      <c r="H9" s="9"/>
      <c r="I9" s="9"/>
      <c r="J9" s="9"/>
      <c r="M9" s="100"/>
      <c r="N9" s="100"/>
    </row>
    <row r="10" spans="1:17" ht="13.5" customHeight="1" x14ac:dyDescent="0.35">
      <c r="F10" s="3"/>
      <c r="G10" s="111"/>
      <c r="H10" s="111"/>
      <c r="I10" s="111"/>
      <c r="J10" s="111"/>
      <c r="K10" s="111"/>
      <c r="M10" s="100"/>
      <c r="N10" s="100"/>
    </row>
    <row r="11" spans="1:17" ht="15" customHeight="1" x14ac:dyDescent="0.3">
      <c r="G11" s="11">
        <f>Community!H11</f>
        <v>26</v>
      </c>
      <c r="H11" s="9"/>
      <c r="I11" s="9"/>
      <c r="J11" s="11">
        <f>Community!J11</f>
        <v>80</v>
      </c>
      <c r="M11" s="100"/>
      <c r="N11" s="100"/>
    </row>
    <row r="12" spans="1:17" ht="16.5" customHeight="1" x14ac:dyDescent="0.35">
      <c r="B12" s="103" t="str">
        <f>IF(Community!K11=2,"A high standardized score represents a more favorable outcome","")</f>
        <v/>
      </c>
      <c r="C12" s="103"/>
      <c r="D12" s="103"/>
      <c r="E12" s="103"/>
      <c r="F12" s="103"/>
      <c r="G12" s="101" t="str">
        <f>INDEX('Data 3 Table'!B4:B84,G11)</f>
        <v xml:space="preserve">Greater Dandenong </v>
      </c>
      <c r="H12" s="101"/>
      <c r="I12" s="4"/>
      <c r="J12" s="101" t="str">
        <f>INDEX('Data 3 Table'!B4:B84,J11)</f>
        <v xml:space="preserve">Greater Melbourne </v>
      </c>
      <c r="K12" s="101"/>
      <c r="M12" s="100"/>
      <c r="N12" s="100"/>
    </row>
    <row r="13" spans="1:17" ht="23.25" customHeight="1" x14ac:dyDescent="0.3">
      <c r="A13" s="13">
        <v>90</v>
      </c>
      <c r="B13" s="94" t="str">
        <f>'Data 3 Table'!CN3</f>
        <v>Proportion of LGA which is green (% total area of LGA) -  % total area LGA - 2013</v>
      </c>
      <c r="C13" s="94"/>
      <c r="D13" s="94"/>
      <c r="E13" s="94"/>
      <c r="F13" s="94"/>
      <c r="G13" s="116">
        <f>VLOOKUP($G$11,'Data 3 Table'!$A$4:$CW$84,2+$A13)</f>
        <v>40.1</v>
      </c>
      <c r="H13" s="116"/>
      <c r="I13" s="14"/>
      <c r="J13" s="117">
        <f>VLOOKUP($J$11,'Data 3 Table'!$A$4:$CW$84,2+$A13)</f>
        <v>40.193548387096769</v>
      </c>
      <c r="K13" s="117"/>
      <c r="M13" s="40">
        <f>IF(Community!$K$11=1,(G13-J13)/J13*100,"")</f>
        <v>-0.2327447833065639</v>
      </c>
      <c r="N13" s="6"/>
      <c r="O13" s="6"/>
      <c r="P13" s="8"/>
      <c r="Q13" s="8"/>
    </row>
    <row r="14" spans="1:17" ht="23.25" customHeight="1" x14ac:dyDescent="0.3">
      <c r="A14" s="13">
        <v>91</v>
      </c>
      <c r="B14" s="102" t="str">
        <f>'Data 3 Table'!CO3</f>
        <v>Per cent of urban area covered by tree canopy, 2014</v>
      </c>
      <c r="C14" s="102"/>
      <c r="D14" s="102"/>
      <c r="E14" s="102"/>
      <c r="F14" s="102"/>
      <c r="G14" s="114">
        <f>VLOOKUP($G$11,'Data 3 Table'!$A$4:$CW$84,2+$A14)</f>
        <v>8.1999999999999993</v>
      </c>
      <c r="H14" s="114"/>
      <c r="I14" s="14"/>
      <c r="J14" s="115">
        <f>VLOOKUP($J$11,'Data 3 Table'!$A$4:$CW$84,2+$A14)</f>
        <v>0</v>
      </c>
      <c r="K14" s="115"/>
      <c r="M14" s="41" t="e">
        <f>IF(Community!$K$11=1,(G14-J14)/J14*100,"")</f>
        <v>#DIV/0!</v>
      </c>
      <c r="N14" s="6"/>
      <c r="O14" s="6"/>
      <c r="P14" s="8"/>
      <c r="Q14" s="8"/>
    </row>
    <row r="15" spans="1:17" ht="23.25" customHeight="1" x14ac:dyDescent="0.3">
      <c r="A15" s="13">
        <v>96</v>
      </c>
      <c r="B15" s="94" t="str">
        <f>'Data 3 Table'!CT3</f>
        <v>Per cent of Residents who do not agree that their locality is a pleasant environment, with well-planned, open spaces, 2008</v>
      </c>
      <c r="C15" s="94"/>
      <c r="D15" s="94"/>
      <c r="E15" s="94"/>
      <c r="F15" s="94"/>
      <c r="G15" s="116">
        <f>VLOOKUP($G$11,'Data 3 Table'!$A$4:$CW$84,2+$A15)</f>
        <v>39.700000000000003</v>
      </c>
      <c r="H15" s="116"/>
      <c r="I15" s="14"/>
      <c r="J15" s="117">
        <f>VLOOKUP($J$11,'Data 3 Table'!$A$4:$CW$84,2+$A15)</f>
        <v>19.5</v>
      </c>
      <c r="K15" s="117"/>
      <c r="M15" s="40"/>
      <c r="N15" s="6"/>
      <c r="O15" s="6"/>
      <c r="P15" s="8"/>
      <c r="Q15" s="8"/>
    </row>
    <row r="16" spans="1:17" ht="23.25" customHeight="1" x14ac:dyDescent="0.3">
      <c r="A16" s="13">
        <v>92</v>
      </c>
      <c r="B16" s="102" t="str">
        <f>'Data 3 Table'!CP3</f>
        <v xml:space="preserve">Tonnes of CO2 emitted, per occupied private dwelling, 2007 </v>
      </c>
      <c r="C16" s="102"/>
      <c r="D16" s="102"/>
      <c r="E16" s="102"/>
      <c r="F16" s="102"/>
      <c r="G16" s="114">
        <f>VLOOKUP($G$11,'Data 3 Table'!$A$4:$CW$84,2+$A16)</f>
        <v>9.3000000000000007</v>
      </c>
      <c r="H16" s="114"/>
      <c r="I16" s="14"/>
      <c r="J16" s="115">
        <f>VLOOKUP($J$11,'Data 3 Table'!$A$4:$CW$84,2+$A16)</f>
        <v>10.199999999999999</v>
      </c>
      <c r="K16" s="115"/>
      <c r="M16" s="41">
        <f>IF(Community!$K$11=1,(G16-J16)/J16*100,"")</f>
        <v>-8.8235294117646923</v>
      </c>
      <c r="N16" s="6"/>
      <c r="O16" s="6"/>
      <c r="P16" s="8"/>
      <c r="Q16" s="8"/>
    </row>
    <row r="17" spans="1:17" ht="23.25" customHeight="1" x14ac:dyDescent="0.3">
      <c r="A17" s="13">
        <v>93</v>
      </c>
      <c r="B17" s="94" t="str">
        <f>'Data 3 Table'!CQ3</f>
        <v xml:space="preserve">Megawatts an hour of electricity used per occupied private dwelling, 2007 </v>
      </c>
      <c r="C17" s="94"/>
      <c r="D17" s="94"/>
      <c r="E17" s="94"/>
      <c r="F17" s="94"/>
      <c r="G17" s="109">
        <f>VLOOKUP($G$11,'Data 3 Table'!$A$4:$CW$84,2+$A17)</f>
        <v>4.9000000000000004</v>
      </c>
      <c r="H17" s="109"/>
      <c r="I17" s="14"/>
      <c r="J17" s="110">
        <f>VLOOKUP($J$11,'Data 3 Table'!$A$4:$CW$84,2+$A17)</f>
        <v>5.6</v>
      </c>
      <c r="K17" s="110"/>
      <c r="M17" s="40">
        <f>IF(Community!$K$11=1,(G17-J17)/J17*100,"")</f>
        <v>-12.499999999999988</v>
      </c>
      <c r="N17" s="6"/>
      <c r="O17" s="6"/>
      <c r="P17" s="8"/>
      <c r="Q17" s="8"/>
    </row>
    <row r="18" spans="1:17" ht="23.25" customHeight="1" x14ac:dyDescent="0.3">
      <c r="A18" s="13">
        <v>94</v>
      </c>
      <c r="B18" s="102" t="str">
        <f>'Data 3 Table'!CR3</f>
        <v>Per cent of adults who live in houses that collect waste water, 2011</v>
      </c>
      <c r="C18" s="102"/>
      <c r="D18" s="102"/>
      <c r="E18" s="102"/>
      <c r="F18" s="102"/>
      <c r="G18" s="112">
        <f>VLOOKUP($G$11,'Data 3 Table'!$A$4:$CW$84,2+$A18)</f>
        <v>48.9</v>
      </c>
      <c r="H18" s="112"/>
      <c r="I18" s="14"/>
      <c r="J18" s="113">
        <f>VLOOKUP($J$11,'Data 3 Table'!$A$4:$CW$84,2+$A18)</f>
        <v>41.4</v>
      </c>
      <c r="K18" s="113"/>
      <c r="M18" s="41">
        <f>IF(Community!$K$11=1,(G18-J18)/J18*100,"")</f>
        <v>18.115942028985508</v>
      </c>
      <c r="N18" s="6"/>
      <c r="O18" s="6"/>
      <c r="P18" s="8"/>
      <c r="Q18" s="8"/>
    </row>
    <row r="19" spans="1:17" ht="26.25" customHeight="1" x14ac:dyDescent="0.3">
      <c r="A19" s="13">
        <v>95</v>
      </c>
      <c r="B19" s="94" t="str">
        <f>'Data 3 Table'!CS3</f>
        <v>Kg of garbage generated per household, 2012/13</v>
      </c>
      <c r="C19" s="94"/>
      <c r="D19" s="94"/>
      <c r="E19" s="94"/>
      <c r="F19" s="94"/>
      <c r="G19" s="116">
        <f>VLOOKUP($G$11,'Data 3 Table'!$A$4:$CW$84,2+$A19)</f>
        <v>596</v>
      </c>
      <c r="H19" s="116"/>
      <c r="I19" s="14"/>
      <c r="J19" s="117">
        <f>VLOOKUP($J$11,'Data 3 Table'!$A$4:$CW$84,2+$A19)</f>
        <v>469</v>
      </c>
      <c r="K19" s="117"/>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8 M16 M13">
    <cfRule type="expression" dxfId="3" priority="4" stopIfTrue="1">
      <formula>$J$8=1</formula>
    </cfRule>
  </conditionalFormatting>
  <conditionalFormatting sqref="M19 M17 M14">
    <cfRule type="expression" dxfId="2" priority="3" stopIfTrue="1">
      <formula>$J$8=1</formula>
    </cfRule>
  </conditionalFormatting>
  <conditionalFormatting sqref="M15 M17 M19">
    <cfRule type="expression" dxfId="1" priority="2" stopIfTrue="1">
      <formula>$J$8=1</formula>
    </cfRule>
  </conditionalFormatting>
  <conditionalFormatting sqref="M16 M18">
    <cfRule type="expression" dxfId="0" priority="1"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workbookViewId="0">
      <pane xSplit="12" ySplit="7" topLeftCell="M8" activePane="bottomRight" state="frozen"/>
      <selection activeCell="O17" sqref="O17"/>
      <selection pane="topRight" activeCell="O17" sqref="O17"/>
      <selection pane="bottomLeft" activeCell="O17" sqref="O17"/>
      <selection pane="bottomRight" activeCell="Q19" sqref="Q19"/>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8" t="s">
        <v>82</v>
      </c>
      <c r="C7" s="98"/>
      <c r="D7" s="98"/>
      <c r="E7" s="98"/>
      <c r="F7" s="98"/>
      <c r="G7" s="98"/>
      <c r="H7" s="98"/>
      <c r="I7" s="98"/>
      <c r="J7" s="98"/>
      <c r="K7" s="98"/>
      <c r="L7" s="45"/>
      <c r="P7" s="9"/>
      <c r="Q7" s="9"/>
    </row>
    <row r="8" spans="1:17" x14ac:dyDescent="0.3">
      <c r="A8" s="39"/>
      <c r="B8" s="128" t="s">
        <v>48</v>
      </c>
      <c r="C8" s="128"/>
      <c r="D8" s="128"/>
      <c r="E8" s="128"/>
      <c r="F8" s="128"/>
      <c r="G8" s="128"/>
      <c r="H8" s="128"/>
      <c r="I8" s="128"/>
      <c r="J8" s="128"/>
      <c r="K8" s="128"/>
      <c r="L8" s="39"/>
      <c r="M8" s="39"/>
      <c r="N8" s="39"/>
      <c r="O8" s="39"/>
      <c r="P8" s="9"/>
      <c r="Q8" s="9"/>
    </row>
    <row r="9" spans="1:17" ht="10.5" customHeight="1" x14ac:dyDescent="0.3">
      <c r="A9" s="39"/>
      <c r="B9" s="128"/>
      <c r="C9" s="128"/>
      <c r="D9" s="128"/>
      <c r="E9" s="128"/>
      <c r="F9" s="128"/>
      <c r="G9" s="128"/>
      <c r="H9" s="128"/>
      <c r="I9" s="128"/>
      <c r="J9" s="128"/>
      <c r="K9" s="128"/>
      <c r="L9" s="39"/>
      <c r="M9" s="39"/>
      <c r="N9" s="39"/>
      <c r="O9" s="34" t="str">
        <f>'Data 3 Table'!C3</f>
        <v>Per cent of residents with limited English proficiency, 2021</v>
      </c>
      <c r="P9" s="9"/>
      <c r="Q9" s="9"/>
    </row>
    <row r="10" spans="1:17" ht="18.75" customHeight="1" x14ac:dyDescent="0.3">
      <c r="A10" s="39"/>
      <c r="B10" s="128"/>
      <c r="C10" s="128"/>
      <c r="D10" s="128"/>
      <c r="E10" s="128"/>
      <c r="F10" s="128"/>
      <c r="G10" s="128"/>
      <c r="H10" s="128"/>
      <c r="I10" s="128"/>
      <c r="J10" s="128"/>
      <c r="K10" s="128"/>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11</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9" t="str">
        <f>INDEX(O9:O119,C12)</f>
        <v>Per cent of 25-44 year-olds who hold a degree, 2021</v>
      </c>
      <c r="B13" s="129"/>
      <c r="C13" s="129"/>
      <c r="D13" s="129"/>
      <c r="E13" s="129"/>
      <c r="F13" s="129"/>
      <c r="G13" s="129"/>
      <c r="H13" s="129"/>
      <c r="I13" s="129"/>
      <c r="J13" s="129"/>
      <c r="K13" s="129"/>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100</v>
      </c>
      <c r="D15" s="48">
        <f>VLOOKUP(B15,'Data 3 Table'!$A$4:$DJ$84,$C$12+2)</f>
        <v>30.963207937164118</v>
      </c>
      <c r="E15" s="48">
        <f>D15+0.00001*B15</f>
        <v>30.963217937164117</v>
      </c>
      <c r="F15" s="49">
        <f>RANK(E15,E$15:E$93)</f>
        <v>34</v>
      </c>
      <c r="G15" s="37" t="str">
        <f>VLOOKUP(MATCH(B15,F$15:F$93,0),$B$15:$D$93,2)</f>
        <v xml:space="preserve">Melbourne </v>
      </c>
      <c r="H15" s="48">
        <f>VLOOKUP(MATCH(B15,F$15:F$93,0),$B$15:$D$93,3)</f>
        <v>69.683817188847371</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102</v>
      </c>
      <c r="D16" s="48">
        <f>VLOOKUP(B16,'Data 3 Table'!$A$4:$DJ$84,$C$12+2)</f>
        <v>20.598947794415217</v>
      </c>
      <c r="E16" s="48">
        <f t="shared" ref="E16:E79" si="0">D16+0.00001*B16</f>
        <v>20.598967794415216</v>
      </c>
      <c r="F16" s="49">
        <f t="shared" ref="F16:F79" si="1">RANK(E16,E$15:E$93)</f>
        <v>66</v>
      </c>
      <c r="G16" s="37" t="str">
        <f t="shared" ref="G16:G79" si="2">VLOOKUP(MATCH(B16,F$15:F$93,0),$B$15:$D$93,2)</f>
        <v xml:space="preserve">Boroondara </v>
      </c>
      <c r="H16" s="48">
        <f t="shared" ref="H16:H79" si="3">VLOOKUP(MATCH(B16,F$15:F$93,0),$B$15:$D$93,3)</f>
        <v>69.570808957030465</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103</v>
      </c>
      <c r="D17" s="48">
        <f>VLOOKUP(B17,'Data 3 Table'!$A$4:$DJ$84,$C$12+2)</f>
        <v>32.956259426847659</v>
      </c>
      <c r="E17" s="48">
        <f t="shared" si="0"/>
        <v>32.956289426847661</v>
      </c>
      <c r="F17" s="49">
        <f t="shared" si="1"/>
        <v>31</v>
      </c>
      <c r="G17" s="37" t="str">
        <f t="shared" si="2"/>
        <v xml:space="preserve">Stonnington </v>
      </c>
      <c r="H17" s="48">
        <f t="shared" si="3"/>
        <v>68.140089337096825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104</v>
      </c>
      <c r="D18" s="48">
        <f>VLOOKUP(B18,'Data 3 Table'!$A$4:$DJ$84,$C$12+2)</f>
        <v>54.159318941927637</v>
      </c>
      <c r="E18" s="48">
        <f t="shared" si="0"/>
        <v>54.159358941927636</v>
      </c>
      <c r="F18" s="49">
        <f t="shared" si="1"/>
        <v>16</v>
      </c>
      <c r="G18" s="37" t="str">
        <f t="shared" si="2"/>
        <v xml:space="preserve">Yarra </v>
      </c>
      <c r="H18" s="48">
        <f t="shared" si="3"/>
        <v>67.246763713292694</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105</v>
      </c>
      <c r="D19" s="48">
        <f>VLOOKUP(B19,'Data 3 Table'!$A$4:$DJ$84,$C$12+2)</f>
        <v>25.591157128865262</v>
      </c>
      <c r="E19" s="48">
        <f t="shared" si="0"/>
        <v>25.591207128865264</v>
      </c>
      <c r="F19" s="49">
        <f t="shared" si="1"/>
        <v>46</v>
      </c>
      <c r="G19" s="37" t="str">
        <f t="shared" si="2"/>
        <v xml:space="preserve">Glen Eira </v>
      </c>
      <c r="H19" s="48">
        <f t="shared" si="3"/>
        <v>64.276051925860884</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106</v>
      </c>
      <c r="D20" s="48">
        <f>VLOOKUP(B20,'Data 3 Table'!$A$4:$DJ$84,$C$12+2)</f>
        <v>23.470671489227865</v>
      </c>
      <c r="E20" s="48">
        <f t="shared" si="0"/>
        <v>23.470731489227866</v>
      </c>
      <c r="F20" s="49">
        <f t="shared" si="1"/>
        <v>51</v>
      </c>
      <c r="G20" s="37" t="str">
        <f t="shared" si="2"/>
        <v xml:space="preserve">Monash </v>
      </c>
      <c r="H20" s="48">
        <f t="shared" si="3"/>
        <v>64.196028434554165</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107</v>
      </c>
      <c r="D21" s="48">
        <f>VLOOKUP(B21,'Data 3 Table'!$A$4:$DJ$84,$C$12+2)</f>
        <v>60.932835820895527</v>
      </c>
      <c r="E21" s="48">
        <f t="shared" si="0"/>
        <v>60.932905820895527</v>
      </c>
      <c r="F21" s="49">
        <f t="shared" si="1"/>
        <v>10</v>
      </c>
      <c r="G21" s="37" t="str">
        <f t="shared" si="2"/>
        <v xml:space="preserve">Whitehorse </v>
      </c>
      <c r="H21" s="48">
        <f t="shared" si="3"/>
        <v>63.066750629722925</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108</v>
      </c>
      <c r="D22" s="48">
        <f>VLOOKUP(B22,'Data 3 Table'!$A$4:$DJ$84,$C$12+2)</f>
        <v>21.788617886178862</v>
      </c>
      <c r="E22" s="48">
        <f t="shared" si="0"/>
        <v>21.788697886178863</v>
      </c>
      <c r="F22" s="49">
        <f t="shared" si="1"/>
        <v>59</v>
      </c>
      <c r="G22" s="37" t="str">
        <f t="shared" si="2"/>
        <v xml:space="preserve">Port Phillip </v>
      </c>
      <c r="H22" s="48">
        <f t="shared" si="3"/>
        <v>61.167718783560787</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109</v>
      </c>
      <c r="D23" s="48">
        <f>VLOOKUP(B23,'Data 3 Table'!$A$4:$DJ$84,$C$12+2)</f>
        <v>69.570808957030465</v>
      </c>
      <c r="E23" s="48">
        <f t="shared" si="0"/>
        <v>69.570898957030465</v>
      </c>
      <c r="F23" s="49">
        <f t="shared" si="1"/>
        <v>2</v>
      </c>
      <c r="G23" s="37" t="str">
        <f t="shared" si="2"/>
        <v xml:space="preserve">Manningham </v>
      </c>
      <c r="H23" s="48">
        <f t="shared" si="3"/>
        <v>61.085811868507193</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110</v>
      </c>
      <c r="D24" s="48">
        <f>VLOOKUP(B24,'Data 3 Table'!$A$4:$DJ$84,$C$12+2)</f>
        <v>35.426295128884419</v>
      </c>
      <c r="E24" s="48">
        <f t="shared" si="0"/>
        <v>35.426395128884423</v>
      </c>
      <c r="F24" s="49">
        <f t="shared" si="1"/>
        <v>27</v>
      </c>
      <c r="G24" s="37" t="str">
        <f t="shared" si="2"/>
        <v xml:space="preserve">Bayside </v>
      </c>
      <c r="H24" s="48">
        <f t="shared" si="3"/>
        <v>60.932835820895527</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111</v>
      </c>
      <c r="D25" s="48">
        <f>VLOOKUP(B25,'Data 3 Table'!$A$4:$DJ$84,$C$12+2)</f>
        <v>24.840085287846481</v>
      </c>
      <c r="E25" s="48">
        <f t="shared" si="0"/>
        <v>24.84019528784648</v>
      </c>
      <c r="F25" s="49">
        <f t="shared" si="1"/>
        <v>47</v>
      </c>
      <c r="G25" s="37" t="str">
        <f t="shared" si="2"/>
        <v xml:space="preserve">Moreland </v>
      </c>
      <c r="H25" s="48">
        <f t="shared" si="3"/>
        <v>57.836889704225804</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112</v>
      </c>
      <c r="D26" s="48">
        <f>VLOOKUP(B26,'Data 3 Table'!$A$4:$DJ$84,$C$12+2)</f>
        <v>21.204041538029749</v>
      </c>
      <c r="E26" s="48">
        <f t="shared" si="0"/>
        <v>21.204161538029748</v>
      </c>
      <c r="F26" s="49">
        <f t="shared" si="1"/>
        <v>63</v>
      </c>
      <c r="G26" s="37" t="str">
        <f t="shared" si="2"/>
        <v xml:space="preserve">Queenscliffe </v>
      </c>
      <c r="H26" s="48">
        <f t="shared" si="3"/>
        <v>57.225433526011557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113</v>
      </c>
      <c r="D27" s="48">
        <f>VLOOKUP(B27,'Data 3 Table'!$A$4:$DJ$84,$C$12+2)</f>
        <v>28.039482238903009</v>
      </c>
      <c r="E27" s="48">
        <f t="shared" si="0"/>
        <v>28.039612238903008</v>
      </c>
      <c r="F27" s="49">
        <f t="shared" si="1"/>
        <v>40</v>
      </c>
      <c r="G27" s="37" t="str">
        <f t="shared" si="2"/>
        <v xml:space="preserve">Maribyrnong </v>
      </c>
      <c r="H27" s="48">
        <f t="shared" si="3"/>
        <v>56.627592425608654</v>
      </c>
      <c r="I27" s="33"/>
      <c r="J27" s="33"/>
      <c r="K27" s="33"/>
      <c r="L27" s="39"/>
      <c r="M27" s="39"/>
      <c r="N27" s="39"/>
      <c r="O27" s="34" t="str">
        <f>'Data 3 Table'!U3</f>
        <v>Unemployment rate, persons 15+, June 2023</v>
      </c>
      <c r="P27" s="9"/>
      <c r="Q27" s="9"/>
    </row>
    <row r="28" spans="1:17" ht="11.25" customHeight="1" x14ac:dyDescent="0.3">
      <c r="A28" s="33"/>
      <c r="B28" s="36">
        <v>14</v>
      </c>
      <c r="C28" s="64" t="s">
        <v>114</v>
      </c>
      <c r="D28" s="48">
        <f>VLOOKUP(B28,'Data 3 Table'!$A$4:$DJ$84,$C$12+2)</f>
        <v>34.13356653877981</v>
      </c>
      <c r="E28" s="48">
        <f t="shared" si="0"/>
        <v>34.133706538779812</v>
      </c>
      <c r="F28" s="49">
        <f t="shared" si="1"/>
        <v>29</v>
      </c>
      <c r="G28" s="37" t="str">
        <f t="shared" si="2"/>
        <v xml:space="preserve">Darebin </v>
      </c>
      <c r="H28" s="48">
        <f t="shared" si="3"/>
        <v>56.607081679127788</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115</v>
      </c>
      <c r="D29" s="48">
        <f>VLOOKUP(B29,'Data 3 Table'!$A$4:$DJ$84,$C$12+2)</f>
        <v>14.94473810667948</v>
      </c>
      <c r="E29" s="48">
        <f t="shared" si="0"/>
        <v>14.94488810667948</v>
      </c>
      <c r="F29" s="49">
        <f t="shared" si="1"/>
        <v>79</v>
      </c>
      <c r="G29" s="37" t="str">
        <f t="shared" si="2"/>
        <v xml:space="preserve">Moonee Valley </v>
      </c>
      <c r="H29" s="48">
        <f t="shared" si="3"/>
        <v>54.369930645350884</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116</v>
      </c>
      <c r="D30" s="48">
        <f>VLOOKUP(B30,'Data 3 Table'!$A$4:$DJ$84,$C$12+2)</f>
        <v>20.259740259740262</v>
      </c>
      <c r="E30" s="48">
        <f t="shared" si="0"/>
        <v>20.259900259740263</v>
      </c>
      <c r="F30" s="49">
        <f t="shared" si="1"/>
        <v>69</v>
      </c>
      <c r="G30" s="37" t="str">
        <f t="shared" si="2"/>
        <v xml:space="preserve">Banyule </v>
      </c>
      <c r="H30" s="48">
        <f t="shared" si="3"/>
        <v>54.159318941927637</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117</v>
      </c>
      <c r="D31" s="48">
        <f>VLOOKUP(B31,'Data 3 Table'!$A$4:$DJ$84,$C$12+2)</f>
        <v>21.7542638357118</v>
      </c>
      <c r="E31" s="48">
        <f t="shared" si="0"/>
        <v>21.754433835711801</v>
      </c>
      <c r="F31" s="49">
        <f t="shared" si="1"/>
        <v>60</v>
      </c>
      <c r="G31" s="37" t="str">
        <f t="shared" si="2"/>
        <v xml:space="preserve">Kingston </v>
      </c>
      <c r="H31" s="48">
        <f t="shared" si="3"/>
        <v>49.382990825234316</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118</v>
      </c>
      <c r="D32" s="48">
        <f>VLOOKUP(B32,'Data 3 Table'!$A$4:$DJ$84,$C$12+2)</f>
        <v>56.607081679127788</v>
      </c>
      <c r="E32" s="48">
        <f t="shared" si="0"/>
        <v>56.607261679127788</v>
      </c>
      <c r="F32" s="49">
        <f t="shared" si="1"/>
        <v>14</v>
      </c>
      <c r="G32" s="37" t="str">
        <f t="shared" si="2"/>
        <v xml:space="preserve">Wyndham </v>
      </c>
      <c r="H32" s="48">
        <f t="shared" si="3"/>
        <v>48.496063858518973</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119</v>
      </c>
      <c r="D33" s="48">
        <f>VLOOKUP(B33,'Data 3 Table'!$A$4:$DJ$84,$C$12+2)</f>
        <v>19.949937421777221</v>
      </c>
      <c r="E33" s="48">
        <f t="shared" si="0"/>
        <v>19.950127421777221</v>
      </c>
      <c r="F33" s="49">
        <f t="shared" si="1"/>
        <v>70</v>
      </c>
      <c r="G33" s="37" t="str">
        <f t="shared" si="2"/>
        <v xml:space="preserve">Hobsons Bay </v>
      </c>
      <c r="H33" s="48">
        <f t="shared" si="3"/>
        <v>47.861155698234349</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120</v>
      </c>
      <c r="D34" s="48">
        <f>VLOOKUP(B34,'Data 3 Table'!$A$4:$DJ$84,$C$12+2)</f>
        <v>27.25740029297145</v>
      </c>
      <c r="E34" s="48">
        <f t="shared" si="0"/>
        <v>27.25760029297145</v>
      </c>
      <c r="F34" s="49">
        <f t="shared" si="1"/>
        <v>42</v>
      </c>
      <c r="G34" s="37" t="str">
        <f t="shared" si="2"/>
        <v xml:space="preserve">Surf Coast </v>
      </c>
      <c r="H34" s="48">
        <f t="shared" si="3"/>
        <v>45.945945945945951</v>
      </c>
      <c r="I34" s="33"/>
      <c r="J34" s="33"/>
      <c r="K34" s="33"/>
      <c r="L34" s="39"/>
      <c r="M34" s="39"/>
      <c r="N34" s="39"/>
      <c r="O34" s="34" t="str">
        <f>'Data 3 Table'!AB3</f>
        <v>Birth rate per 1,000 women aged 20-24, 2022</v>
      </c>
      <c r="P34" s="9"/>
      <c r="Q34" s="9"/>
    </row>
    <row r="35" spans="1:17" ht="11.25" customHeight="1" x14ac:dyDescent="0.3">
      <c r="A35" s="33"/>
      <c r="B35" s="36">
        <v>21</v>
      </c>
      <c r="C35" s="64" t="s">
        <v>121</v>
      </c>
      <c r="D35" s="48">
        <f>VLOOKUP(B35,'Data 3 Table'!$A$4:$DJ$84,$C$12+2)</f>
        <v>17.235294117647058</v>
      </c>
      <c r="E35" s="48">
        <f t="shared" si="0"/>
        <v>17.235504117647057</v>
      </c>
      <c r="F35" s="49">
        <f t="shared" si="1"/>
        <v>77</v>
      </c>
      <c r="G35" s="37" t="str">
        <f t="shared" si="2"/>
        <v xml:space="preserve">Maroondah </v>
      </c>
      <c r="H35" s="48">
        <f t="shared" si="3"/>
        <v>45.325602725366878</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122</v>
      </c>
      <c r="D36" s="48">
        <f>VLOOKUP(B36,'Data 3 Table'!$A$4:$DJ$84,$C$12+2)</f>
        <v>64.276051925860884</v>
      </c>
      <c r="E36" s="48">
        <f t="shared" si="0"/>
        <v>64.276271925860883</v>
      </c>
      <c r="F36" s="49">
        <f t="shared" si="1"/>
        <v>5</v>
      </c>
      <c r="G36" s="37" t="str">
        <f t="shared" si="2"/>
        <v xml:space="preserve">Nillumbik </v>
      </c>
      <c r="H36" s="48">
        <f t="shared" si="3"/>
        <v>44.903732809430259</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123</v>
      </c>
      <c r="D37" s="48">
        <f>VLOOKUP(B37,'Data 3 Table'!$A$4:$DJ$84,$C$12+2)</f>
        <v>17.754130495659478</v>
      </c>
      <c r="E37" s="48">
        <f t="shared" si="0"/>
        <v>17.754360495659476</v>
      </c>
      <c r="F37" s="49">
        <f t="shared" si="1"/>
        <v>76</v>
      </c>
      <c r="G37" s="37" t="str">
        <f t="shared" si="2"/>
        <v xml:space="preserve">Knox </v>
      </c>
      <c r="H37" s="48">
        <f t="shared" si="3"/>
        <v>44.616824271079594</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124</v>
      </c>
      <c r="D38" s="48">
        <f>VLOOKUP(B38,'Data 3 Table'!$A$4:$DJ$84,$C$12+2)</f>
        <v>21.900305920460681</v>
      </c>
      <c r="E38" s="48">
        <f t="shared" si="0"/>
        <v>21.900545920460683</v>
      </c>
      <c r="F38" s="49">
        <f t="shared" si="1"/>
        <v>56</v>
      </c>
      <c r="G38" s="37" t="str">
        <f t="shared" si="2"/>
        <v xml:space="preserve">Whittlesea </v>
      </c>
      <c r="H38" s="48">
        <f t="shared" si="3"/>
        <v>37.992930600608027</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125</v>
      </c>
      <c r="D39" s="48">
        <f>VLOOKUP(B39,'Data 3 Table'!$A$4:$DJ$84,$C$12+2)</f>
        <v>28.464286977747904</v>
      </c>
      <c r="E39" s="48">
        <f t="shared" si="0"/>
        <v>28.464536977747905</v>
      </c>
      <c r="F39" s="49">
        <f t="shared" si="1"/>
        <v>39</v>
      </c>
      <c r="G39" s="37" t="str">
        <f t="shared" si="2"/>
        <v xml:space="preserve">Greater Dandenong </v>
      </c>
      <c r="H39" s="48">
        <f t="shared" si="3"/>
        <v>36.871160372900285</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126</v>
      </c>
      <c r="D40" s="48">
        <f>VLOOKUP(B40,'Data 3 Table'!$A$4:$DJ$84,$C$12+2)</f>
        <v>36.871160372900285</v>
      </c>
      <c r="E40" s="48">
        <f t="shared" si="0"/>
        <v>36.871420372900282</v>
      </c>
      <c r="F40" s="49">
        <f t="shared" si="1"/>
        <v>25</v>
      </c>
      <c r="G40" s="37" t="str">
        <f t="shared" si="2"/>
        <v xml:space="preserve">Greater Geelong </v>
      </c>
      <c r="H40" s="48">
        <f t="shared" si="3"/>
        <v>36.513186781020401</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127</v>
      </c>
      <c r="D41" s="48">
        <f>VLOOKUP(B41,'Data 3 Table'!$A$4:$DJ$84,$C$12+2)</f>
        <v>36.513186781020401</v>
      </c>
      <c r="E41" s="48">
        <f t="shared" si="0"/>
        <v>36.513456781020402</v>
      </c>
      <c r="F41" s="49">
        <f t="shared" si="1"/>
        <v>26</v>
      </c>
      <c r="G41" s="37" t="str">
        <f t="shared" si="2"/>
        <v xml:space="preserve">Brimbank </v>
      </c>
      <c r="H41" s="48">
        <f t="shared" si="3"/>
        <v>35.426295128884419</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128</v>
      </c>
      <c r="D42" s="48">
        <f>VLOOKUP(B42,'Data 3 Table'!$A$4:$DJ$84,$C$12+2)</f>
        <v>24.247535028541776</v>
      </c>
      <c r="E42" s="48">
        <f t="shared" si="0"/>
        <v>24.247815028541776</v>
      </c>
      <c r="F42" s="49">
        <f t="shared" si="1"/>
        <v>49</v>
      </c>
      <c r="G42" s="37" t="str">
        <f t="shared" si="2"/>
        <v xml:space="preserve">Macedon Ranges </v>
      </c>
      <c r="H42" s="48">
        <f t="shared" si="3"/>
        <v>35.269472481432103</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129</v>
      </c>
      <c r="D43" s="48">
        <f>VLOOKUP(B43,'Data 3 Table'!$A$4:$DJ$84,$C$12+2)</f>
        <v>29.822012350163458</v>
      </c>
      <c r="E43" s="48">
        <f t="shared" si="0"/>
        <v>29.822302350163458</v>
      </c>
      <c r="F43" s="49">
        <f t="shared" si="1"/>
        <v>35</v>
      </c>
      <c r="G43" s="37" t="str">
        <f t="shared" si="2"/>
        <v xml:space="preserve">Casey </v>
      </c>
      <c r="H43" s="48">
        <f t="shared" si="3"/>
        <v>34.13356653877981</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130</v>
      </c>
      <c r="D44" s="48">
        <f>VLOOKUP(B44,'Data 3 Table'!$A$4:$DJ$84,$C$12+2)</f>
        <v>20.377358490566039</v>
      </c>
      <c r="E44" s="48">
        <f t="shared" si="0"/>
        <v>20.377658490566038</v>
      </c>
      <c r="F44" s="49">
        <f t="shared" si="1"/>
        <v>68</v>
      </c>
      <c r="G44" s="37" t="str">
        <f t="shared" si="2"/>
        <v xml:space="preserve">Mount Alexander </v>
      </c>
      <c r="H44" s="48">
        <f t="shared" si="3"/>
        <v>33.424209378407852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131</v>
      </c>
      <c r="D45" s="48">
        <f>VLOOKUP(B45,'Data 3 Table'!$A$4:$DJ$84,$C$12+2)</f>
        <v>47.861155698234349</v>
      </c>
      <c r="E45" s="48">
        <f t="shared" si="0"/>
        <v>47.861465698234348</v>
      </c>
      <c r="F45" s="49">
        <f t="shared" si="1"/>
        <v>19</v>
      </c>
      <c r="G45" s="37" t="str">
        <f t="shared" si="2"/>
        <v xml:space="preserve">Ballarat </v>
      </c>
      <c r="H45" s="48">
        <f t="shared" si="3"/>
        <v>32.956259426847659</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132</v>
      </c>
      <c r="D46" s="48">
        <f>VLOOKUP(B46,'Data 3 Table'!$A$4:$DJ$84,$C$12+2)</f>
        <v>22.597114317425081</v>
      </c>
      <c r="E46" s="48">
        <f t="shared" si="0"/>
        <v>22.59743431742508</v>
      </c>
      <c r="F46" s="49">
        <f t="shared" si="1"/>
        <v>54</v>
      </c>
      <c r="G46" s="37" t="str">
        <f t="shared" si="2"/>
        <v xml:space="preserve">Melton </v>
      </c>
      <c r="H46" s="48">
        <f t="shared" si="3"/>
        <v>32.6083362418943</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133</v>
      </c>
      <c r="D47" s="48">
        <f>VLOOKUP(B47,'Data 3 Table'!$A$4:$DJ$84,$C$12+2)</f>
        <v>32.592447168038589</v>
      </c>
      <c r="E47" s="48">
        <f t="shared" si="0"/>
        <v>32.592777168038587</v>
      </c>
      <c r="F47" s="49">
        <f t="shared" si="1"/>
        <v>33</v>
      </c>
      <c r="G47" s="37" t="str">
        <f t="shared" si="2"/>
        <v xml:space="preserve">Hume </v>
      </c>
      <c r="H47" s="48">
        <f t="shared" si="3"/>
        <v>32.592447168038589</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134</v>
      </c>
      <c r="D48" s="48">
        <f>VLOOKUP(B48,'Data 3 Table'!$A$4:$DJ$84,$C$12+2)</f>
        <v>27.589483687044662</v>
      </c>
      <c r="E48" s="48">
        <f t="shared" si="0"/>
        <v>27.589823687044664</v>
      </c>
      <c r="F48" s="49">
        <f t="shared" si="1"/>
        <v>41</v>
      </c>
      <c r="G48" s="37" t="str">
        <f t="shared" si="2"/>
        <v xml:space="preserve">Alpine </v>
      </c>
      <c r="H48" s="48">
        <f t="shared" si="3"/>
        <v>30.963207937164118</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135</v>
      </c>
      <c r="D49" s="48">
        <f>VLOOKUP(B49,'Data 3 Table'!$A$4:$DJ$84,$C$12+2)</f>
        <v>49.382990825234316</v>
      </c>
      <c r="E49" s="48">
        <f t="shared" si="0"/>
        <v>49.383340825234313</v>
      </c>
      <c r="F49" s="49">
        <f t="shared" si="1"/>
        <v>17</v>
      </c>
      <c r="G49" s="37" t="str">
        <f t="shared" si="2"/>
        <v xml:space="preserve">Hepburn </v>
      </c>
      <c r="H49" s="48">
        <f t="shared" si="3"/>
        <v>29.822012350163458</v>
      </c>
      <c r="I49" s="33"/>
      <c r="J49" s="33"/>
      <c r="K49" s="33"/>
      <c r="L49" s="39"/>
      <c r="M49" s="39"/>
      <c r="N49" s="39"/>
      <c r="O49" s="34" t="str">
        <f>'Data 3 Table'!AQ3</f>
        <v>Per cent of dwellings which are rented from the government, co-operatives or the church, 2021</v>
      </c>
      <c r="P49" s="9"/>
      <c r="Q49" s="9"/>
    </row>
    <row r="50" spans="1:17" ht="21" x14ac:dyDescent="0.3">
      <c r="A50" s="33"/>
      <c r="B50" s="36">
        <v>36</v>
      </c>
      <c r="C50" s="64" t="s">
        <v>136</v>
      </c>
      <c r="D50" s="48">
        <f>VLOOKUP(B50,'Data 3 Table'!$A$4:$DJ$84,$C$12+2)</f>
        <v>44.616824271079594</v>
      </c>
      <c r="E50" s="48">
        <f t="shared" si="0"/>
        <v>44.617184271079594</v>
      </c>
      <c r="F50" s="49">
        <f t="shared" si="1"/>
        <v>23</v>
      </c>
      <c r="G50" s="37" t="str">
        <f t="shared" si="2"/>
        <v xml:space="preserve">Mornington Peninsula </v>
      </c>
      <c r="H50" s="48">
        <f t="shared" si="3"/>
        <v>29.760566175011576</v>
      </c>
      <c r="I50" s="33"/>
      <c r="J50" s="33"/>
      <c r="K50" s="33"/>
      <c r="L50" s="39"/>
      <c r="M50" s="39"/>
      <c r="N50" s="39"/>
      <c r="O50" s="34" t="str">
        <f>'Data 3 Table'!AR3</f>
        <v>Per cent of private dwellings which are overcrowded, 2021</v>
      </c>
      <c r="P50" s="9"/>
      <c r="Q50" s="9"/>
    </row>
    <row r="51" spans="1:17" x14ac:dyDescent="0.3">
      <c r="A51" s="33"/>
      <c r="B51" s="36">
        <v>37</v>
      </c>
      <c r="C51" s="64" t="s">
        <v>137</v>
      </c>
      <c r="D51" s="48">
        <f>VLOOKUP(B51,'Data 3 Table'!$A$4:$DJ$84,$C$12+2)</f>
        <v>19.329668380918601</v>
      </c>
      <c r="E51" s="48">
        <f t="shared" si="0"/>
        <v>19.330038380918602</v>
      </c>
      <c r="F51" s="49">
        <f t="shared" si="1"/>
        <v>72</v>
      </c>
      <c r="G51" s="37" t="str">
        <f t="shared" si="2"/>
        <v xml:space="preserve">Yarra Ranges </v>
      </c>
      <c r="H51" s="48">
        <f t="shared" si="3"/>
        <v>29.699808388332976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138</v>
      </c>
      <c r="D52" s="48">
        <f>VLOOKUP(B52,'Data 3 Table'!$A$4:$DJ$84,$C$12+2)</f>
        <v>20.427350427350426</v>
      </c>
      <c r="E52" s="48">
        <f t="shared" si="0"/>
        <v>20.427730427350426</v>
      </c>
      <c r="F52" s="49">
        <f t="shared" si="1"/>
        <v>67</v>
      </c>
      <c r="G52" s="37" t="str">
        <f t="shared" si="2"/>
        <v xml:space="preserve">Warrnambool </v>
      </c>
      <c r="H52" s="48">
        <f t="shared" si="3"/>
        <v>28.508069483799432</v>
      </c>
      <c r="I52" s="33"/>
      <c r="J52" s="33"/>
      <c r="K52" s="33"/>
      <c r="L52" s="39"/>
      <c r="M52" s="39"/>
      <c r="N52" s="39"/>
      <c r="O52" s="34" t="str">
        <f>'Data 3 Table'!AT3</f>
        <v>Per cent of women aged 20-24, who had given birth, 2021</v>
      </c>
      <c r="P52" s="9"/>
      <c r="Q52" s="9"/>
    </row>
    <row r="53" spans="1:17" ht="21" x14ac:dyDescent="0.3">
      <c r="A53" s="33"/>
      <c r="B53" s="36">
        <v>39</v>
      </c>
      <c r="C53" s="64" t="s">
        <v>139</v>
      </c>
      <c r="D53" s="48">
        <f>VLOOKUP(B53,'Data 3 Table'!$A$4:$DJ$84,$C$12+2)</f>
        <v>35.269472481432103</v>
      </c>
      <c r="E53" s="48">
        <f t="shared" si="0"/>
        <v>35.269862481432106</v>
      </c>
      <c r="F53" s="49">
        <f t="shared" si="1"/>
        <v>28</v>
      </c>
      <c r="G53" s="37" t="str">
        <f t="shared" si="2"/>
        <v xml:space="preserve">Greater Bendigo </v>
      </c>
      <c r="H53" s="48">
        <f t="shared" si="3"/>
        <v>28.464286977747904</v>
      </c>
      <c r="I53" s="33"/>
      <c r="J53" s="33"/>
      <c r="K53" s="33"/>
      <c r="L53" s="39"/>
      <c r="M53" s="39"/>
      <c r="N53" s="39"/>
      <c r="O53" s="34" t="str">
        <f>'Data 3 Table'!AU3</f>
        <v>Female / Male (%): Hours worked at home, 2021</v>
      </c>
      <c r="P53" s="9"/>
      <c r="Q53" s="9"/>
    </row>
    <row r="54" spans="1:17" x14ac:dyDescent="0.3">
      <c r="A54" s="33"/>
      <c r="B54" s="36">
        <v>40</v>
      </c>
      <c r="C54" s="64" t="s">
        <v>140</v>
      </c>
      <c r="D54" s="48">
        <f>VLOOKUP(B54,'Data 3 Table'!$A$4:$DJ$84,$C$12+2)</f>
        <v>61.085811868507193</v>
      </c>
      <c r="E54" s="48">
        <f t="shared" si="0"/>
        <v>61.086211868507192</v>
      </c>
      <c r="F54" s="49">
        <f t="shared" si="1"/>
        <v>9</v>
      </c>
      <c r="G54" s="37" t="str">
        <f t="shared" si="2"/>
        <v xml:space="preserve">Cardinia </v>
      </c>
      <c r="H54" s="48">
        <f t="shared" si="3"/>
        <v>28.039482238903009</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141</v>
      </c>
      <c r="D55" s="48">
        <f>VLOOKUP(B55,'Data 3 Table'!$A$4:$DJ$84,$C$12+2)</f>
        <v>26.940133037694014</v>
      </c>
      <c r="E55" s="48">
        <f t="shared" si="0"/>
        <v>26.940543037694013</v>
      </c>
      <c r="F55" s="49">
        <f t="shared" si="1"/>
        <v>43</v>
      </c>
      <c r="G55" s="37" t="str">
        <f t="shared" si="2"/>
        <v xml:space="preserve">Indigo </v>
      </c>
      <c r="H55" s="48">
        <f t="shared" si="3"/>
        <v>27.589483687044662</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142</v>
      </c>
      <c r="D56" s="48">
        <f>VLOOKUP(B56,'Data 3 Table'!$A$4:$DJ$84,$C$12+2)</f>
        <v>56.627592425608654</v>
      </c>
      <c r="E56" s="48">
        <f t="shared" si="0"/>
        <v>56.628012425608652</v>
      </c>
      <c r="F56" s="49">
        <f t="shared" si="1"/>
        <v>13</v>
      </c>
      <c r="G56" s="37" t="str">
        <f t="shared" si="2"/>
        <v xml:space="preserve">Frankston </v>
      </c>
      <c r="H56" s="48">
        <f t="shared" si="3"/>
        <v>27.25740029297145</v>
      </c>
      <c r="I56" s="33"/>
      <c r="J56" s="33"/>
      <c r="K56" s="33"/>
      <c r="L56" s="39"/>
      <c r="M56" s="39"/>
      <c r="N56" s="39"/>
      <c r="O56" s="34" t="str">
        <f>'Data 3 Table'!AX3</f>
        <v>Rate of Police callouts to family incidents, 2022/23 [per 100,000 residents]</v>
      </c>
      <c r="P56" s="9"/>
      <c r="Q56" s="9"/>
    </row>
    <row r="57" spans="1:17" x14ac:dyDescent="0.3">
      <c r="A57" s="33"/>
      <c r="B57" s="36">
        <v>43</v>
      </c>
      <c r="C57" s="64" t="s">
        <v>143</v>
      </c>
      <c r="D57" s="48">
        <f>VLOOKUP(B57,'Data 3 Table'!$A$4:$DJ$84,$C$12+2)</f>
        <v>45.325602725366878</v>
      </c>
      <c r="E57" s="48">
        <f t="shared" si="0"/>
        <v>45.326032725366879</v>
      </c>
      <c r="F57" s="49">
        <f t="shared" si="1"/>
        <v>21</v>
      </c>
      <c r="G57" s="37" t="str">
        <f t="shared" si="2"/>
        <v xml:space="preserve">Mansfield </v>
      </c>
      <c r="H57" s="48">
        <f t="shared" si="3"/>
        <v>26.940133037694014</v>
      </c>
      <c r="I57" s="33"/>
      <c r="J57" s="33"/>
      <c r="K57" s="33"/>
      <c r="L57" s="39"/>
      <c r="M57" s="39"/>
      <c r="N57" s="39"/>
      <c r="O57" s="34" t="str">
        <f>'Data 3 Table'!AY3</f>
        <v>Male / Female (%): Median hours in paid employment per week, 2021</v>
      </c>
      <c r="P57" s="9"/>
      <c r="Q57" s="9"/>
    </row>
    <row r="58" spans="1:17" x14ac:dyDescent="0.3">
      <c r="A58" s="33"/>
      <c r="B58" s="36">
        <v>44</v>
      </c>
      <c r="C58" s="64" t="s">
        <v>144</v>
      </c>
      <c r="D58" s="48">
        <f>VLOOKUP(B58,'Data 3 Table'!$A$4:$DJ$84,$C$12+2)</f>
        <v>69.683817188847371</v>
      </c>
      <c r="E58" s="48">
        <f t="shared" si="0"/>
        <v>69.684257188847369</v>
      </c>
      <c r="F58" s="49">
        <f t="shared" si="1"/>
        <v>1</v>
      </c>
      <c r="G58" s="37" t="str">
        <f t="shared" si="2"/>
        <v xml:space="preserve">Moyne </v>
      </c>
      <c r="H58" s="48">
        <f t="shared" si="3"/>
        <v>26.666666666666668</v>
      </c>
      <c r="I58" s="33"/>
      <c r="J58" s="33"/>
      <c r="K58" s="33"/>
      <c r="L58" s="39"/>
      <c r="M58" s="39"/>
      <c r="N58" s="39"/>
      <c r="O58" s="34" t="str">
        <f>'Data 3 Table'!AZ3</f>
        <v>Low Gender Equity Score, 2015</v>
      </c>
      <c r="P58" s="9"/>
      <c r="Q58" s="9"/>
    </row>
    <row r="59" spans="1:17" x14ac:dyDescent="0.3">
      <c r="A59" s="33"/>
      <c r="B59" s="36">
        <v>45</v>
      </c>
      <c r="C59" s="64" t="s">
        <v>145</v>
      </c>
      <c r="D59" s="48">
        <f>VLOOKUP(B59,'Data 3 Table'!$A$4:$DJ$84,$C$12+2)</f>
        <v>32.6083362418943</v>
      </c>
      <c r="E59" s="48">
        <f t="shared" si="0"/>
        <v>32.6087862418943</v>
      </c>
      <c r="F59" s="49">
        <f t="shared" si="1"/>
        <v>32</v>
      </c>
      <c r="G59" s="37" t="str">
        <f t="shared" si="2"/>
        <v xml:space="preserve">Wangaratta </v>
      </c>
      <c r="H59" s="48">
        <f t="shared" si="3"/>
        <v>26.527494908350306</v>
      </c>
      <c r="I59" s="33"/>
      <c r="J59" s="33"/>
      <c r="K59" s="33"/>
      <c r="L59" s="39"/>
      <c r="M59" s="39"/>
      <c r="N59" s="39"/>
      <c r="O59" s="34">
        <f>'Data 3 Table'!BA3</f>
        <v>0</v>
      </c>
      <c r="P59" s="9"/>
      <c r="Q59" s="9"/>
    </row>
    <row r="60" spans="1:17" x14ac:dyDescent="0.3">
      <c r="A60" s="33"/>
      <c r="B60" s="36">
        <v>46</v>
      </c>
      <c r="C60" s="64" t="s">
        <v>146</v>
      </c>
      <c r="D60" s="48">
        <f>VLOOKUP(B60,'Data 3 Table'!$A$4:$DJ$84,$C$12+2)</f>
        <v>20.948000311842208</v>
      </c>
      <c r="E60" s="48">
        <f t="shared" si="0"/>
        <v>20.948460311842208</v>
      </c>
      <c r="F60" s="49">
        <f t="shared" si="1"/>
        <v>64</v>
      </c>
      <c r="G60" s="37" t="str">
        <f t="shared" si="2"/>
        <v xml:space="preserve">Bass Coast </v>
      </c>
      <c r="H60" s="48">
        <f t="shared" si="3"/>
        <v>25.591157128865262</v>
      </c>
      <c r="I60" s="33"/>
      <c r="J60" s="33"/>
      <c r="K60" s="33"/>
      <c r="L60" s="39"/>
      <c r="M60" s="39"/>
      <c r="N60" s="39"/>
      <c r="O60" s="34" t="str">
        <f>'Data 3 Table'!BB3</f>
        <v>% persons obese, 2020</v>
      </c>
      <c r="P60" s="9"/>
      <c r="Q60" s="9"/>
    </row>
    <row r="61" spans="1:17" x14ac:dyDescent="0.3">
      <c r="A61" s="33"/>
      <c r="B61" s="36">
        <v>47</v>
      </c>
      <c r="C61" s="64" t="s">
        <v>147</v>
      </c>
      <c r="D61" s="48">
        <f>VLOOKUP(B61,'Data 3 Table'!$A$4:$DJ$84,$C$12+2)</f>
        <v>21.230965478753088</v>
      </c>
      <c r="E61" s="48">
        <f t="shared" si="0"/>
        <v>21.231435478753088</v>
      </c>
      <c r="F61" s="49">
        <f t="shared" si="1"/>
        <v>62</v>
      </c>
      <c r="G61" s="37" t="str">
        <f t="shared" si="2"/>
        <v xml:space="preserve">Buloke </v>
      </c>
      <c r="H61" s="48">
        <f t="shared" si="3"/>
        <v>24.840085287846481</v>
      </c>
      <c r="I61" s="33"/>
      <c r="J61" s="33"/>
      <c r="K61" s="33"/>
      <c r="L61" s="39"/>
      <c r="M61" s="39"/>
      <c r="N61" s="39"/>
      <c r="O61" s="34" t="str">
        <f>'Data 3 Table'!BC3</f>
        <v>Self-reported health status - Fair/poor, 2020</v>
      </c>
      <c r="P61" s="9"/>
      <c r="Q61" s="9"/>
    </row>
    <row r="62" spans="1:17" x14ac:dyDescent="0.3">
      <c r="A62" s="33"/>
      <c r="B62" s="36">
        <v>48</v>
      </c>
      <c r="C62" s="64" t="s">
        <v>148</v>
      </c>
      <c r="D62" s="48">
        <f>VLOOKUP(B62,'Data 3 Table'!$A$4:$DJ$84,$C$12+2)</f>
        <v>18.740955137481912</v>
      </c>
      <c r="E62" s="48">
        <f t="shared" si="0"/>
        <v>18.741435137481911</v>
      </c>
      <c r="F62" s="49">
        <f t="shared" si="1"/>
        <v>74</v>
      </c>
      <c r="G62" s="37" t="str">
        <f t="shared" si="2"/>
        <v xml:space="preserve">Moorabool </v>
      </c>
      <c r="H62" s="48">
        <f t="shared" si="3"/>
        <v>24.70334412081985</v>
      </c>
      <c r="I62" s="33"/>
      <c r="J62" s="33"/>
      <c r="K62" s="33"/>
      <c r="L62" s="39"/>
      <c r="M62" s="39"/>
      <c r="N62" s="39"/>
      <c r="O62" s="34" t="str">
        <f>'Data 3 Table'!BD3</f>
        <v>Sedentary level of activity, 2017</v>
      </c>
      <c r="P62" s="9"/>
      <c r="Q62" s="9"/>
    </row>
    <row r="63" spans="1:17" ht="21" x14ac:dyDescent="0.3">
      <c r="A63" s="33"/>
      <c r="B63" s="36">
        <v>49</v>
      </c>
      <c r="C63" s="64" t="s">
        <v>149</v>
      </c>
      <c r="D63" s="48">
        <f>VLOOKUP(B63,'Data 3 Table'!$A$4:$DJ$84,$C$12+2)</f>
        <v>64.196028434554165</v>
      </c>
      <c r="E63" s="48">
        <f t="shared" si="0"/>
        <v>64.196518434554164</v>
      </c>
      <c r="F63" s="49">
        <f t="shared" si="1"/>
        <v>6</v>
      </c>
      <c r="G63" s="37" t="str">
        <f t="shared" si="2"/>
        <v xml:space="preserve">Greater Shepparton </v>
      </c>
      <c r="H63" s="48">
        <f t="shared" si="3"/>
        <v>24.247535028541776</v>
      </c>
      <c r="I63" s="33"/>
      <c r="J63" s="33"/>
      <c r="K63" s="33"/>
      <c r="L63" s="39"/>
      <c r="M63" s="39"/>
      <c r="N63" s="39"/>
      <c r="O63" s="34" t="str">
        <f>'Data 3 Table'!BE3</f>
        <v>Met fruit consumption guidelines, 2017</v>
      </c>
      <c r="P63" s="9"/>
      <c r="Q63" s="9"/>
    </row>
    <row r="64" spans="1:17" ht="21" x14ac:dyDescent="0.3">
      <c r="A64" s="33"/>
      <c r="B64" s="36">
        <v>50</v>
      </c>
      <c r="C64" s="64" t="s">
        <v>150</v>
      </c>
      <c r="D64" s="48">
        <f>VLOOKUP(B64,'Data 3 Table'!$A$4:$DJ$84,$C$12+2)</f>
        <v>54.369930645350884</v>
      </c>
      <c r="E64" s="48">
        <f t="shared" si="0"/>
        <v>54.370430645350886</v>
      </c>
      <c r="F64" s="49">
        <f t="shared" si="1"/>
        <v>15</v>
      </c>
      <c r="G64" s="37" t="str">
        <f t="shared" si="2"/>
        <v xml:space="preserve">Southern Grampians </v>
      </c>
      <c r="H64" s="48">
        <f t="shared" si="3"/>
        <v>23.68839427662957</v>
      </c>
      <c r="I64" s="33"/>
      <c r="J64" s="33"/>
      <c r="K64" s="33"/>
      <c r="L64" s="39"/>
      <c r="M64" s="39"/>
      <c r="N64" s="39"/>
      <c r="O64" s="34" t="str">
        <f>'Data 3 Table'!BF3</f>
        <v>Met vegetable consumption guidelines , 2017</v>
      </c>
      <c r="P64" s="9"/>
      <c r="Q64" s="9"/>
    </row>
    <row r="65" spans="1:17" x14ac:dyDescent="0.3">
      <c r="A65" s="33"/>
      <c r="B65" s="36">
        <v>51</v>
      </c>
      <c r="C65" s="64" t="s">
        <v>151</v>
      </c>
      <c r="D65" s="48">
        <f>VLOOKUP(B65,'Data 3 Table'!$A$4:$DJ$84,$C$12+2)</f>
        <v>24.70334412081985</v>
      </c>
      <c r="E65" s="48">
        <f t="shared" si="0"/>
        <v>24.703854120819848</v>
      </c>
      <c r="F65" s="49">
        <f t="shared" si="1"/>
        <v>48</v>
      </c>
      <c r="G65" s="37" t="str">
        <f t="shared" si="2"/>
        <v xml:space="preserve">Baw Baw </v>
      </c>
      <c r="H65" s="48">
        <f t="shared" si="3"/>
        <v>23.470671489227865</v>
      </c>
      <c r="I65" s="33"/>
      <c r="J65" s="33"/>
      <c r="K65" s="33"/>
      <c r="L65" s="39"/>
      <c r="M65" s="39"/>
      <c r="N65" s="39"/>
      <c r="O65" s="34" t="str">
        <f>'Data 3 Table'!BG3</f>
        <v>Consume take-away meals, or snacks, more than once a week, 2017</v>
      </c>
      <c r="P65" s="9"/>
      <c r="Q65" s="9"/>
    </row>
    <row r="66" spans="1:17" x14ac:dyDescent="0.3">
      <c r="A66" s="33"/>
      <c r="B66" s="36">
        <v>52</v>
      </c>
      <c r="C66" s="64" t="s">
        <v>152</v>
      </c>
      <c r="D66" s="48">
        <f>VLOOKUP(B66,'Data 3 Table'!$A$4:$DJ$84,$C$12+2)</f>
        <v>57.836889704225804</v>
      </c>
      <c r="E66" s="48">
        <f t="shared" si="0"/>
        <v>57.837409704225806</v>
      </c>
      <c r="F66" s="49">
        <f t="shared" si="1"/>
        <v>11</v>
      </c>
      <c r="G66" s="37" t="str">
        <f t="shared" si="2"/>
        <v xml:space="preserve">West Wimmera </v>
      </c>
      <c r="H66" s="48">
        <f t="shared" si="3"/>
        <v>23.382352941176471</v>
      </c>
      <c r="I66" s="33"/>
      <c r="J66" s="33"/>
      <c r="K66" s="33"/>
      <c r="L66" s="39"/>
      <c r="M66" s="39"/>
      <c r="N66" s="39"/>
      <c r="O66" s="34" t="str">
        <f>'Data 3 Table'!BH3</f>
        <v>Consume sugar-sweetened soft drinks daily, 2017</v>
      </c>
      <c r="P66" s="9"/>
      <c r="Q66" s="9"/>
    </row>
    <row r="67" spans="1:17" ht="21" x14ac:dyDescent="0.3">
      <c r="A67" s="33"/>
      <c r="B67" s="36">
        <v>53</v>
      </c>
      <c r="C67" s="64" t="s">
        <v>153</v>
      </c>
      <c r="D67" s="48">
        <f>VLOOKUP(B67,'Data 3 Table'!$A$4:$DJ$84,$C$12+2)</f>
        <v>29.760566175011576</v>
      </c>
      <c r="E67" s="48">
        <f t="shared" si="0"/>
        <v>29.761096175011577</v>
      </c>
      <c r="F67" s="49">
        <f t="shared" si="1"/>
        <v>36</v>
      </c>
      <c r="G67" s="37" t="str">
        <f t="shared" si="2"/>
        <v xml:space="preserve">Strathbogie </v>
      </c>
      <c r="H67" s="48">
        <f t="shared" si="3"/>
        <v>22.960561858454888</v>
      </c>
      <c r="I67" s="33"/>
      <c r="J67" s="33"/>
      <c r="K67" s="33"/>
      <c r="L67" s="39"/>
      <c r="M67" s="39"/>
      <c r="N67" s="39"/>
      <c r="O67" s="34" t="str">
        <f>'Data 3 Table'!BI3</f>
        <v>Increased lifetime risk of alcohol-related harm, 2017</v>
      </c>
      <c r="P67" s="9"/>
      <c r="Q67" s="9"/>
    </row>
    <row r="68" spans="1:17" ht="21" x14ac:dyDescent="0.3">
      <c r="A68" s="33"/>
      <c r="B68" s="36">
        <v>54</v>
      </c>
      <c r="C68" s="64" t="s">
        <v>154</v>
      </c>
      <c r="D68" s="48">
        <f>VLOOKUP(B68,'Data 3 Table'!$A$4:$DJ$84,$C$12+2)</f>
        <v>33.424209378407852</v>
      </c>
      <c r="E68" s="48">
        <f t="shared" si="0"/>
        <v>33.424749378407853</v>
      </c>
      <c r="F68" s="49">
        <f t="shared" si="1"/>
        <v>30</v>
      </c>
      <c r="G68" s="37" t="str">
        <f t="shared" si="2"/>
        <v xml:space="preserve">Horsham </v>
      </c>
      <c r="H68" s="48">
        <f t="shared" si="3"/>
        <v>22.597114317425081</v>
      </c>
      <c r="I68" s="33"/>
      <c r="J68" s="33"/>
      <c r="K68" s="33"/>
      <c r="L68" s="39"/>
      <c r="M68" s="39"/>
      <c r="N68" s="39"/>
      <c r="O68" s="34" t="str">
        <f>'Data 3 Table'!BJ3</f>
        <v>Current smokers, 2020</v>
      </c>
      <c r="P68" s="9"/>
      <c r="Q68" s="9"/>
    </row>
    <row r="69" spans="1:17" x14ac:dyDescent="0.3">
      <c r="A69" s="33"/>
      <c r="B69" s="36">
        <v>55</v>
      </c>
      <c r="C69" s="64" t="s">
        <v>155</v>
      </c>
      <c r="D69" s="48">
        <f>VLOOKUP(B69,'Data 3 Table'!$A$4:$DJ$84,$C$12+2)</f>
        <v>26.666666666666668</v>
      </c>
      <c r="E69" s="48">
        <f t="shared" si="0"/>
        <v>26.667216666666668</v>
      </c>
      <c r="F69" s="49">
        <f t="shared" si="1"/>
        <v>44</v>
      </c>
      <c r="G69" s="37" t="str">
        <f t="shared" si="2"/>
        <v xml:space="preserve">Wodonga </v>
      </c>
      <c r="H69" s="48">
        <f t="shared" si="3"/>
        <v>22.562014769929934</v>
      </c>
      <c r="I69" s="33"/>
      <c r="J69" s="33"/>
      <c r="K69" s="33"/>
      <c r="L69" s="39"/>
      <c r="M69" s="39"/>
      <c r="N69" s="39"/>
      <c r="O69" s="34" t="str">
        <f>'Data 3 Table'!BK3</f>
        <v>Low/medium satisfaction with life, 2020</v>
      </c>
      <c r="P69" s="9"/>
      <c r="Q69" s="9"/>
    </row>
    <row r="70" spans="1:17" x14ac:dyDescent="0.3">
      <c r="A70" s="33"/>
      <c r="B70" s="36">
        <v>56</v>
      </c>
      <c r="C70" s="64" t="s">
        <v>156</v>
      </c>
      <c r="D70" s="48">
        <f>VLOOKUP(B70,'Data 3 Table'!$A$4:$DJ$84,$C$12+2)</f>
        <v>19.581233036060489</v>
      </c>
      <c r="E70" s="48">
        <f t="shared" si="0"/>
        <v>19.581793036060489</v>
      </c>
      <c r="F70" s="49">
        <f t="shared" si="1"/>
        <v>71</v>
      </c>
      <c r="G70" s="37" t="str">
        <f t="shared" si="2"/>
        <v xml:space="preserve">Golden Plains </v>
      </c>
      <c r="H70" s="48">
        <f t="shared" si="3"/>
        <v>21.900305920460681</v>
      </c>
      <c r="I70" s="33"/>
      <c r="J70" s="33"/>
      <c r="K70" s="33"/>
      <c r="L70" s="39"/>
      <c r="M70" s="39"/>
      <c r="N70" s="39"/>
      <c r="O70" s="34" t="str">
        <f>'Data 3 Table'!BL3</f>
        <v>High/very high levels of psychological distress, 2020</v>
      </c>
      <c r="P70" s="9"/>
      <c r="Q70" s="9"/>
    </row>
    <row r="71" spans="1:17" x14ac:dyDescent="0.3">
      <c r="A71" s="33"/>
      <c r="B71" s="36">
        <v>57</v>
      </c>
      <c r="C71" s="64" t="s">
        <v>157</v>
      </c>
      <c r="D71" s="48">
        <f>VLOOKUP(B71,'Data 3 Table'!$A$4:$DJ$84,$C$12+2)</f>
        <v>44.903732809430259</v>
      </c>
      <c r="E71" s="48">
        <f t="shared" si="0"/>
        <v>44.904302809430263</v>
      </c>
      <c r="F71" s="49">
        <f t="shared" si="1"/>
        <v>22</v>
      </c>
      <c r="G71" s="37" t="str">
        <f t="shared" si="2"/>
        <v xml:space="preserve">Towong </v>
      </c>
      <c r="H71" s="48">
        <f t="shared" si="3"/>
        <v>21.840242669362993</v>
      </c>
      <c r="I71" s="33"/>
      <c r="J71" s="33"/>
      <c r="K71" s="33"/>
      <c r="L71" s="39"/>
      <c r="M71" s="39"/>
      <c r="N71" s="39"/>
      <c r="O71" s="34" t="str">
        <f>'Data 3 Table'!BM3</f>
        <v>Self-reported health status - Fair/poor, 2020</v>
      </c>
      <c r="P71" s="9"/>
      <c r="Q71" s="9"/>
    </row>
    <row r="72" spans="1:17" ht="21" x14ac:dyDescent="0.3">
      <c r="A72" s="33"/>
      <c r="B72" s="36">
        <v>58</v>
      </c>
      <c r="C72" s="64" t="s">
        <v>158</v>
      </c>
      <c r="D72" s="48">
        <f>VLOOKUP(B72,'Data 3 Table'!$A$4:$DJ$84,$C$12+2)</f>
        <v>20.753860127157132</v>
      </c>
      <c r="E72" s="48">
        <f t="shared" si="0"/>
        <v>20.754440127157132</v>
      </c>
      <c r="F72" s="49">
        <f t="shared" si="1"/>
        <v>65</v>
      </c>
      <c r="G72" s="37" t="str">
        <f t="shared" si="2"/>
        <v xml:space="preserve">South Gippsland </v>
      </c>
      <c r="H72" s="48">
        <f t="shared" si="3"/>
        <v>21.816799695933106</v>
      </c>
      <c r="I72" s="33"/>
      <c r="J72" s="33"/>
      <c r="K72" s="33"/>
      <c r="L72" s="39"/>
      <c r="M72" s="39"/>
      <c r="N72" s="39"/>
      <c r="O72" s="34" t="str">
        <f>'Data 3 Table'!BN3</f>
        <v>Per cent of persons aged 70+, with a disability, 2021</v>
      </c>
      <c r="P72" s="9"/>
      <c r="Q72" s="9"/>
    </row>
    <row r="73" spans="1:17" x14ac:dyDescent="0.3">
      <c r="A73" s="33"/>
      <c r="B73" s="36">
        <v>59</v>
      </c>
      <c r="C73" s="64" t="s">
        <v>159</v>
      </c>
      <c r="D73" s="48">
        <f>VLOOKUP(B73,'Data 3 Table'!$A$4:$DJ$84,$C$12+2)</f>
        <v>61.167718783560787</v>
      </c>
      <c r="E73" s="48">
        <f t="shared" si="0"/>
        <v>61.168308783560789</v>
      </c>
      <c r="F73" s="49">
        <f t="shared" si="1"/>
        <v>8</v>
      </c>
      <c r="G73" s="37" t="str">
        <f t="shared" si="2"/>
        <v xml:space="preserve">Benalla </v>
      </c>
      <c r="H73" s="48">
        <f t="shared" si="3"/>
        <v>21.788617886178862</v>
      </c>
      <c r="I73" s="33"/>
      <c r="J73" s="33"/>
      <c r="K73" s="33"/>
      <c r="L73" s="39"/>
      <c r="M73" s="39"/>
      <c r="N73" s="39"/>
      <c r="O73" s="34" t="str">
        <f>'Data 3 Table'!BO3</f>
        <v>Per cent of 55-59 year olds in paid employment, 2021</v>
      </c>
      <c r="P73" s="9"/>
      <c r="Q73" s="9"/>
    </row>
    <row r="74" spans="1:17" x14ac:dyDescent="0.3">
      <c r="A74" s="33"/>
      <c r="B74" s="36">
        <v>60</v>
      </c>
      <c r="C74" s="64" t="s">
        <v>160</v>
      </c>
      <c r="D74" s="48">
        <f>VLOOKUP(B74,'Data 3 Table'!$A$4:$DJ$84,$C$12+2)</f>
        <v>17.009493670886076</v>
      </c>
      <c r="E74" s="48">
        <f t="shared" si="0"/>
        <v>17.010093670886075</v>
      </c>
      <c r="F74" s="49">
        <f t="shared" si="1"/>
        <v>78</v>
      </c>
      <c r="G74" s="37" t="str">
        <f t="shared" si="2"/>
        <v xml:space="preserve">Corangamite </v>
      </c>
      <c r="H74" s="48">
        <f t="shared" si="3"/>
        <v>21.7542638357118</v>
      </c>
      <c r="I74" s="33"/>
      <c r="J74" s="33"/>
      <c r="K74" s="33"/>
      <c r="L74" s="39"/>
      <c r="M74" s="39"/>
      <c r="N74" s="39"/>
      <c r="O74" s="34" t="str">
        <f>'Data 3 Table'!BP3</f>
        <v>Median weekly individual gross income, 55-59 year-olds, 2021</v>
      </c>
      <c r="P74" s="9"/>
      <c r="Q74" s="9"/>
    </row>
    <row r="75" spans="1:17" x14ac:dyDescent="0.3">
      <c r="A75" s="9"/>
      <c r="B75" s="36">
        <v>61</v>
      </c>
      <c r="C75" s="64" t="s">
        <v>161</v>
      </c>
      <c r="D75" s="48">
        <f>VLOOKUP(B75,'Data 3 Table'!$A$4:$DJ$84,$C$12+2)</f>
        <v>57.225433526011557</v>
      </c>
      <c r="E75" s="48">
        <f t="shared" si="0"/>
        <v>57.226043526011559</v>
      </c>
      <c r="F75" s="49">
        <f t="shared" si="1"/>
        <v>12</v>
      </c>
      <c r="G75" s="37" t="str">
        <f t="shared" si="2"/>
        <v xml:space="preserve">Wellington </v>
      </c>
      <c r="H75" s="48">
        <f t="shared" si="3"/>
        <v>21.55310728420152</v>
      </c>
      <c r="I75" s="9"/>
      <c r="J75" s="9"/>
      <c r="K75" s="9"/>
      <c r="O75" s="34" t="str">
        <f>'Data 3 Table'!BQ3</f>
        <v>Violent offence rate, per 100,000 pop., 2022/23</v>
      </c>
      <c r="P75" s="9"/>
      <c r="Q75" s="9"/>
    </row>
    <row r="76" spans="1:17" ht="21" x14ac:dyDescent="0.3">
      <c r="A76" s="9"/>
      <c r="B76" s="36">
        <v>62</v>
      </c>
      <c r="C76" s="64" t="s">
        <v>162</v>
      </c>
      <c r="D76" s="48">
        <f>VLOOKUP(B76,'Data 3 Table'!$A$4:$DJ$84,$C$12+2)</f>
        <v>21.816799695933106</v>
      </c>
      <c r="E76" s="48">
        <f t="shared" si="0"/>
        <v>21.817419695933108</v>
      </c>
      <c r="F76" s="49">
        <f t="shared" si="1"/>
        <v>58</v>
      </c>
      <c r="G76" s="37" t="str">
        <f t="shared" si="2"/>
        <v xml:space="preserve">Mitchell </v>
      </c>
      <c r="H76" s="48">
        <f t="shared" si="3"/>
        <v>21.230965478753088</v>
      </c>
      <c r="I76" s="9"/>
      <c r="J76" s="9"/>
      <c r="K76" s="9"/>
      <c r="O76" s="34" t="str">
        <f>'Data 3 Table'!BR3</f>
        <v>Injuries and fatalities per 10,000 population, 2017</v>
      </c>
      <c r="P76" s="9"/>
      <c r="Q76" s="9"/>
    </row>
    <row r="77" spans="1:17" ht="21" x14ac:dyDescent="0.3">
      <c r="A77" s="9"/>
      <c r="B77" s="36">
        <v>63</v>
      </c>
      <c r="C77" s="64" t="s">
        <v>163</v>
      </c>
      <c r="D77" s="48">
        <f>VLOOKUP(B77,'Data 3 Table'!$A$4:$DJ$84,$C$12+2)</f>
        <v>23.68839427662957</v>
      </c>
      <c r="E77" s="48">
        <f t="shared" si="0"/>
        <v>23.689024276629571</v>
      </c>
      <c r="F77" s="49">
        <f t="shared" si="1"/>
        <v>50</v>
      </c>
      <c r="G77" s="37" t="str">
        <f t="shared" si="2"/>
        <v xml:space="preserve">Campaspe </v>
      </c>
      <c r="H77" s="48">
        <f t="shared" si="3"/>
        <v>21.204041538029749</v>
      </c>
      <c r="I77" s="9"/>
      <c r="J77" s="9"/>
      <c r="K77" s="9"/>
      <c r="O77" s="34" t="str">
        <f>'Data 3 Table'!BS3</f>
        <v>Per cent of people who do not feel safe alone in their area at night, 2015</v>
      </c>
      <c r="P77" s="9"/>
      <c r="Q77" s="9"/>
    </row>
    <row r="78" spans="1:17" x14ac:dyDescent="0.3">
      <c r="A78" s="9"/>
      <c r="B78" s="36">
        <v>64</v>
      </c>
      <c r="C78" s="64" t="s">
        <v>164</v>
      </c>
      <c r="D78" s="48">
        <f>VLOOKUP(B78,'Data 3 Table'!$A$4:$DJ$84,$C$12+2)</f>
        <v>68.140089337096825</v>
      </c>
      <c r="E78" s="48">
        <f t="shared" si="0"/>
        <v>68.140729337096829</v>
      </c>
      <c r="F78" s="49">
        <f t="shared" si="1"/>
        <v>3</v>
      </c>
      <c r="G78" s="37" t="str">
        <f t="shared" si="2"/>
        <v xml:space="preserve">Mildura </v>
      </c>
      <c r="H78" s="48">
        <f t="shared" si="3"/>
        <v>20.948000311842208</v>
      </c>
      <c r="I78" s="9"/>
      <c r="J78" s="9"/>
      <c r="K78" s="9"/>
      <c r="O78" s="34" t="str">
        <f>'Data 3 Table'!BT3</f>
        <v>Violent offenders per 10,000 population, 2008/9</v>
      </c>
      <c r="P78" s="9"/>
      <c r="Q78" s="9"/>
    </row>
    <row r="79" spans="1:17" ht="21" x14ac:dyDescent="0.3">
      <c r="A79" s="9"/>
      <c r="B79" s="36">
        <v>65</v>
      </c>
      <c r="C79" s="64" t="s">
        <v>165</v>
      </c>
      <c r="D79" s="48">
        <f>VLOOKUP(B79,'Data 3 Table'!$A$4:$DJ$84,$C$12+2)</f>
        <v>22.960561858454888</v>
      </c>
      <c r="E79" s="48">
        <f t="shared" si="0"/>
        <v>22.961211858454888</v>
      </c>
      <c r="F79" s="49">
        <f t="shared" si="1"/>
        <v>53</v>
      </c>
      <c r="G79" s="37" t="str">
        <f t="shared" si="2"/>
        <v xml:space="preserve">Northern Grampians </v>
      </c>
      <c r="H79" s="48">
        <f t="shared" si="3"/>
        <v>20.753860127157132</v>
      </c>
      <c r="I79" s="9"/>
      <c r="J79" s="9"/>
      <c r="K79" s="9"/>
      <c r="O79" s="34" t="str">
        <f>'Data 3 Table'!BU3</f>
        <v>Child protection substantiations per 1,000 eligible pop</v>
      </c>
      <c r="P79" s="9"/>
      <c r="Q79" s="9"/>
    </row>
    <row r="80" spans="1:17" x14ac:dyDescent="0.3">
      <c r="A80" s="9"/>
      <c r="B80" s="36">
        <v>66</v>
      </c>
      <c r="C80" s="64" t="s">
        <v>166</v>
      </c>
      <c r="D80" s="48">
        <f>VLOOKUP(B80,'Data 3 Table'!$A$4:$DJ$84,$C$12+2)</f>
        <v>45.945945945945951</v>
      </c>
      <c r="E80" s="48">
        <f t="shared" ref="E80:E93" si="4">D80+0.00001*B80</f>
        <v>45.946605945945954</v>
      </c>
      <c r="F80" s="49">
        <f t="shared" ref="F80:F93" si="5">RANK(E80,E$15:E$93)</f>
        <v>20</v>
      </c>
      <c r="G80" s="37" t="str">
        <f t="shared" ref="G80:G93" si="6">VLOOKUP(MATCH(B80,F$15:F$93,0),$B$15:$D$93,2)</f>
        <v xml:space="preserve">Ararat </v>
      </c>
      <c r="H80" s="48">
        <f t="shared" ref="H80:H93" si="7">VLOOKUP(MATCH(B80,F$15:F$93,0),$B$15:$D$93,3)</f>
        <v>20.598947794415217</v>
      </c>
      <c r="I80" s="9"/>
      <c r="J80" s="9"/>
      <c r="K80" s="9"/>
      <c r="O80" s="34" t="str">
        <f>'Data 3 Table'!BV3</f>
        <v>Rate of Police callouts to family incidents, 2022/23 [per 100,000 residents]</v>
      </c>
      <c r="P80" s="9"/>
      <c r="Q80" s="9"/>
    </row>
    <row r="81" spans="1:17" x14ac:dyDescent="0.3">
      <c r="A81" s="9"/>
      <c r="B81" s="36">
        <v>67</v>
      </c>
      <c r="C81" s="64" t="s">
        <v>167</v>
      </c>
      <c r="D81" s="48">
        <f>VLOOKUP(B81,'Data 3 Table'!$A$4:$DJ$84,$C$12+2)</f>
        <v>18.368556191981039</v>
      </c>
      <c r="E81" s="48">
        <f t="shared" si="4"/>
        <v>18.369226191981038</v>
      </c>
      <c r="F81" s="49">
        <f t="shared" si="5"/>
        <v>75</v>
      </c>
      <c r="G81" s="37" t="str">
        <f t="shared" si="6"/>
        <v xml:space="preserve">Loddon </v>
      </c>
      <c r="H81" s="48">
        <f t="shared" si="7"/>
        <v>20.427350427350426</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168</v>
      </c>
      <c r="D82" s="48">
        <f>VLOOKUP(B82,'Data 3 Table'!$A$4:$DJ$84,$C$12+2)</f>
        <v>21.840242669362993</v>
      </c>
      <c r="E82" s="48">
        <f t="shared" si="4"/>
        <v>21.840922669362993</v>
      </c>
      <c r="F82" s="49">
        <f t="shared" si="5"/>
        <v>57</v>
      </c>
      <c r="G82" s="37" t="str">
        <f t="shared" si="6"/>
        <v xml:space="preserve">Hindmarsh </v>
      </c>
      <c r="H82" s="48">
        <f t="shared" si="7"/>
        <v>20.377358490566039</v>
      </c>
      <c r="I82" s="9"/>
      <c r="J82" s="9"/>
      <c r="K82" s="9"/>
      <c r="O82" s="34" t="str">
        <f>'Data 3 Table'!BX3</f>
        <v>Birth rate per 1,000 women aged 20-24, 2022</v>
      </c>
      <c r="P82" s="9"/>
      <c r="Q82" s="9"/>
    </row>
    <row r="83" spans="1:17" x14ac:dyDescent="0.3">
      <c r="A83" s="9"/>
      <c r="B83" s="36">
        <v>69</v>
      </c>
      <c r="C83" s="64" t="s">
        <v>169</v>
      </c>
      <c r="D83" s="48">
        <f>VLOOKUP(B83,'Data 3 Table'!$A$4:$DJ$84,$C$12+2)</f>
        <v>26.527494908350306</v>
      </c>
      <c r="E83" s="48">
        <f t="shared" si="4"/>
        <v>26.528184908350305</v>
      </c>
      <c r="F83" s="49">
        <f t="shared" si="5"/>
        <v>45</v>
      </c>
      <c r="G83" s="37" t="str">
        <f t="shared" si="6"/>
        <v xml:space="preserve">Colac-Otway </v>
      </c>
      <c r="H83" s="48">
        <f t="shared" si="7"/>
        <v>20.259740259740262</v>
      </c>
      <c r="I83" s="9"/>
      <c r="J83" s="9"/>
      <c r="K83" s="9"/>
      <c r="O83" s="34" t="str">
        <f>'Data 3 Table'!BY3</f>
        <v>Multiculturalism makes life in your area better 'never' or 'not often', 2021</v>
      </c>
      <c r="P83" s="9"/>
      <c r="Q83" s="9"/>
    </row>
    <row r="84" spans="1:17" x14ac:dyDescent="0.3">
      <c r="A84" s="9"/>
      <c r="B84" s="36">
        <v>70</v>
      </c>
      <c r="C84" s="64" t="s">
        <v>170</v>
      </c>
      <c r="D84" s="48">
        <f>VLOOKUP(B84,'Data 3 Table'!$A$4:$DJ$84,$C$12+2)</f>
        <v>28.508069483799432</v>
      </c>
      <c r="E84" s="48">
        <f t="shared" si="4"/>
        <v>28.50876948379943</v>
      </c>
      <c r="F84" s="49">
        <f t="shared" si="5"/>
        <v>38</v>
      </c>
      <c r="G84" s="37" t="str">
        <f t="shared" si="6"/>
        <v xml:space="preserve">East Gippsland </v>
      </c>
      <c r="H84" s="48">
        <f t="shared" si="7"/>
        <v>19.949937421777221</v>
      </c>
      <c r="I84" s="9"/>
      <c r="J84" s="9"/>
      <c r="K84" s="9"/>
      <c r="O84" s="34" t="str">
        <f>'Data 3 Table'!BZ3</f>
        <v>Ran out of money to buy food during the past 12 months, 2020</v>
      </c>
      <c r="P84" s="9"/>
      <c r="Q84" s="9"/>
    </row>
    <row r="85" spans="1:17" x14ac:dyDescent="0.3">
      <c r="A85" s="9"/>
      <c r="B85" s="36">
        <v>71</v>
      </c>
      <c r="C85" s="64" t="s">
        <v>171</v>
      </c>
      <c r="D85" s="48">
        <f>VLOOKUP(B85,'Data 3 Table'!$A$4:$DJ$84,$C$12+2)</f>
        <v>21.55310728420152</v>
      </c>
      <c r="E85" s="48">
        <f t="shared" si="4"/>
        <v>21.553817284201521</v>
      </c>
      <c r="F85" s="49">
        <f t="shared" si="5"/>
        <v>61</v>
      </c>
      <c r="G85" s="37" t="str">
        <f t="shared" si="6"/>
        <v xml:space="preserve">Murrindindi </v>
      </c>
      <c r="H85" s="48">
        <f t="shared" si="7"/>
        <v>19.581233036060489</v>
      </c>
      <c r="I85" s="9"/>
      <c r="J85" s="9"/>
      <c r="K85" s="9"/>
      <c r="O85" s="34">
        <f>'Data 3 Table'!CA3</f>
        <v>0</v>
      </c>
      <c r="P85" s="9"/>
      <c r="Q85" s="9"/>
    </row>
    <row r="86" spans="1:17" ht="21" x14ac:dyDescent="0.3">
      <c r="A86" s="9"/>
      <c r="B86" s="36">
        <v>72</v>
      </c>
      <c r="C86" s="64" t="s">
        <v>172</v>
      </c>
      <c r="D86" s="48">
        <f>VLOOKUP(B86,'Data 3 Table'!$A$4:$DJ$84,$C$12+2)</f>
        <v>23.382352941176471</v>
      </c>
      <c r="E86" s="48">
        <f t="shared" si="4"/>
        <v>23.383072941176472</v>
      </c>
      <c r="F86" s="49">
        <f t="shared" si="5"/>
        <v>52</v>
      </c>
      <c r="G86" s="37" t="str">
        <f t="shared" si="6"/>
        <v xml:space="preserve">Latrobe </v>
      </c>
      <c r="H86" s="48">
        <f t="shared" si="7"/>
        <v>19.329668380918601</v>
      </c>
      <c r="I86" s="9"/>
      <c r="J86" s="9"/>
      <c r="K86" s="9"/>
      <c r="O86" s="34">
        <f>'Data 3 Table'!CB3</f>
        <v>0</v>
      </c>
      <c r="P86" s="9"/>
      <c r="Q86" s="9"/>
    </row>
    <row r="87" spans="1:17" x14ac:dyDescent="0.3">
      <c r="A87" s="9"/>
      <c r="B87" s="36">
        <v>73</v>
      </c>
      <c r="C87" s="64" t="s">
        <v>173</v>
      </c>
      <c r="D87" s="48">
        <f>VLOOKUP(B87,'Data 3 Table'!$A$4:$DJ$84,$C$12+2)</f>
        <v>63.066750629722925</v>
      </c>
      <c r="E87" s="48">
        <f t="shared" si="4"/>
        <v>63.067480629722922</v>
      </c>
      <c r="F87" s="49">
        <f t="shared" si="5"/>
        <v>7</v>
      </c>
      <c r="G87" s="37" t="str">
        <f t="shared" si="6"/>
        <v xml:space="preserve">Yarriambiack </v>
      </c>
      <c r="H87" s="48">
        <f t="shared" si="7"/>
        <v>18.796992481203006</v>
      </c>
      <c r="I87" s="9"/>
      <c r="J87" s="9"/>
      <c r="K87" s="9"/>
      <c r="O87" s="34">
        <f>'Data 3 Table'!CC3</f>
        <v>0</v>
      </c>
      <c r="P87" s="9"/>
      <c r="Q87" s="9"/>
    </row>
    <row r="88" spans="1:17" x14ac:dyDescent="0.3">
      <c r="A88" s="9"/>
      <c r="B88" s="36">
        <v>74</v>
      </c>
      <c r="C88" s="64" t="s">
        <v>174</v>
      </c>
      <c r="D88" s="48">
        <f>VLOOKUP(B88,'Data 3 Table'!$A$4:$DJ$84,$C$12+2)</f>
        <v>37.992930600608027</v>
      </c>
      <c r="E88" s="48">
        <f t="shared" si="4"/>
        <v>37.993670600608027</v>
      </c>
      <c r="F88" s="49">
        <f t="shared" si="5"/>
        <v>24</v>
      </c>
      <c r="G88" s="37" t="str">
        <f t="shared" si="6"/>
        <v xml:space="preserve">Moira </v>
      </c>
      <c r="H88" s="48">
        <f t="shared" si="7"/>
        <v>18.740955137481912</v>
      </c>
      <c r="I88" s="9"/>
      <c r="J88" s="9"/>
      <c r="K88" s="9"/>
      <c r="O88" s="34">
        <f>'Data 3 Table'!CD3</f>
        <v>0</v>
      </c>
      <c r="P88" s="9"/>
      <c r="Q88" s="9"/>
    </row>
    <row r="89" spans="1:17" x14ac:dyDescent="0.3">
      <c r="A89" s="9"/>
      <c r="B89" s="36">
        <v>75</v>
      </c>
      <c r="C89" s="64" t="s">
        <v>175</v>
      </c>
      <c r="D89" s="48">
        <f>VLOOKUP(B89,'Data 3 Table'!$A$4:$DJ$84,$C$12+2)</f>
        <v>22.562014769929934</v>
      </c>
      <c r="E89" s="48">
        <f t="shared" si="4"/>
        <v>22.562764769929935</v>
      </c>
      <c r="F89" s="49">
        <f t="shared" si="5"/>
        <v>55</v>
      </c>
      <c r="G89" s="37" t="str">
        <f t="shared" si="6"/>
        <v xml:space="preserve">Swan Hill </v>
      </c>
      <c r="H89" s="48">
        <f t="shared" si="7"/>
        <v>18.368556191981039</v>
      </c>
      <c r="I89" s="9"/>
      <c r="J89" s="9"/>
      <c r="K89" s="9"/>
      <c r="O89" s="34" t="str">
        <f>'Data 3 Table'!CE3</f>
        <v>Per cent of  20-24 year olds who left school before completing year 11, 2021</v>
      </c>
      <c r="P89" s="9"/>
      <c r="Q89" s="9"/>
    </row>
    <row r="90" spans="1:17" x14ac:dyDescent="0.3">
      <c r="A90" s="9"/>
      <c r="B90" s="36">
        <v>76</v>
      </c>
      <c r="C90" s="64" t="s">
        <v>176</v>
      </c>
      <c r="D90" s="48">
        <f>VLOOKUP(B90,'Data 3 Table'!$A$4:$DJ$84,$C$12+2)</f>
        <v>48.496063858518973</v>
      </c>
      <c r="E90" s="48">
        <f t="shared" si="4"/>
        <v>48.496823858518972</v>
      </c>
      <c r="F90" s="49">
        <f t="shared" si="5"/>
        <v>18</v>
      </c>
      <c r="G90" s="37" t="str">
        <f t="shared" si="6"/>
        <v xml:space="preserve">Glenelg </v>
      </c>
      <c r="H90" s="48">
        <f t="shared" si="7"/>
        <v>17.754130495659478</v>
      </c>
      <c r="I90" s="9"/>
      <c r="J90" s="9"/>
      <c r="K90" s="9"/>
      <c r="O90" s="34" t="str">
        <f>'Data 3 Table'!CF3</f>
        <v>Child protection substantiations per 1,000 eligible pop</v>
      </c>
      <c r="P90" s="9"/>
      <c r="Q90" s="9"/>
    </row>
    <row r="91" spans="1:17" x14ac:dyDescent="0.3">
      <c r="A91" s="9"/>
      <c r="B91" s="36">
        <v>77</v>
      </c>
      <c r="C91" s="64" t="s">
        <v>177</v>
      </c>
      <c r="D91" s="48">
        <f>VLOOKUP(B91,'Data 3 Table'!$A$4:$DJ$84,$C$12+2)</f>
        <v>67.246763713292694</v>
      </c>
      <c r="E91" s="48">
        <f t="shared" si="4"/>
        <v>67.247533713292697</v>
      </c>
      <c r="F91" s="49">
        <f t="shared" si="5"/>
        <v>4</v>
      </c>
      <c r="G91" s="37" t="str">
        <f t="shared" si="6"/>
        <v xml:space="preserve">Gannawarra </v>
      </c>
      <c r="H91" s="48">
        <f t="shared" si="7"/>
        <v>17.235294117647058</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178</v>
      </c>
      <c r="D92" s="48">
        <f>VLOOKUP(B92,'Data 3 Table'!$A$4:$DJ$84,$C$12+2)</f>
        <v>29.699808388332976</v>
      </c>
      <c r="E92" s="48">
        <f t="shared" si="4"/>
        <v>29.700588388332974</v>
      </c>
      <c r="F92" s="49">
        <f t="shared" si="5"/>
        <v>37</v>
      </c>
      <c r="G92" s="37" t="str">
        <f t="shared" si="6"/>
        <v xml:space="preserve">Pyrenees </v>
      </c>
      <c r="H92" s="48">
        <f t="shared" si="7"/>
        <v>17.009493670886076</v>
      </c>
      <c r="I92" s="9"/>
      <c r="J92" s="9"/>
      <c r="K92" s="9"/>
      <c r="O92" s="34" t="str">
        <f>'Data 3 Table'!CH3</f>
        <v>Proportion of Highly Walkable Primary Schools  - index score - 2012</v>
      </c>
      <c r="P92" s="9"/>
      <c r="Q92" s="9"/>
    </row>
    <row r="93" spans="1:17" ht="21" x14ac:dyDescent="0.3">
      <c r="A93" s="9"/>
      <c r="B93" s="36">
        <v>79</v>
      </c>
      <c r="C93" s="64" t="s">
        <v>179</v>
      </c>
      <c r="D93" s="48">
        <f>VLOOKUP(B93,'Data 3 Table'!$A$4:$DJ$84,$C$12+2)</f>
        <v>18.796992481203006</v>
      </c>
      <c r="E93" s="48">
        <f t="shared" si="4"/>
        <v>18.797782481203004</v>
      </c>
      <c r="F93" s="49">
        <f t="shared" si="5"/>
        <v>73</v>
      </c>
      <c r="G93" s="37" t="str">
        <f t="shared" si="6"/>
        <v xml:space="preserve">Central Goldfields </v>
      </c>
      <c r="H93" s="48">
        <f t="shared" si="7"/>
        <v>14.94473810667948</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print="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Normal="100"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8" t="s">
        <v>83</v>
      </c>
      <c r="C7" s="98"/>
      <c r="D7" s="98"/>
      <c r="E7" s="98"/>
      <c r="F7" s="98"/>
      <c r="G7" s="98"/>
      <c r="H7" s="98"/>
      <c r="I7" s="98"/>
      <c r="J7" s="98"/>
      <c r="K7" s="98"/>
      <c r="L7" s="2"/>
      <c r="M7" s="8"/>
      <c r="N7" s="8"/>
      <c r="O7" s="9"/>
      <c r="P7" s="9"/>
      <c r="Q7" s="9"/>
      <c r="R7" s="9"/>
      <c r="S7" s="9"/>
      <c r="T7" s="9"/>
    </row>
    <row r="8" spans="1:20" ht="12.75" customHeight="1" x14ac:dyDescent="0.3">
      <c r="A8" s="32"/>
      <c r="B8" s="130" t="s">
        <v>49</v>
      </c>
      <c r="C8" s="130"/>
      <c r="D8" s="130"/>
      <c r="E8" s="130"/>
      <c r="F8" s="130"/>
      <c r="G8" s="130"/>
      <c r="H8" s="130"/>
      <c r="I8" s="130"/>
      <c r="J8" s="130"/>
      <c r="K8" s="130"/>
      <c r="L8" s="32"/>
      <c r="M8" s="39"/>
      <c r="N8" s="39"/>
      <c r="O8" s="33"/>
      <c r="P8" s="9"/>
      <c r="Q8" s="9"/>
      <c r="R8" s="9"/>
      <c r="S8" s="9"/>
      <c r="T8" s="9"/>
    </row>
    <row r="9" spans="1:20" ht="3" customHeight="1" x14ac:dyDescent="0.3">
      <c r="A9" s="32"/>
      <c r="B9" s="130"/>
      <c r="C9" s="130"/>
      <c r="D9" s="130"/>
      <c r="E9" s="130"/>
      <c r="F9" s="130"/>
      <c r="G9" s="130"/>
      <c r="H9" s="130"/>
      <c r="I9" s="130"/>
      <c r="J9" s="130"/>
      <c r="K9" s="130"/>
      <c r="L9" s="32"/>
      <c r="M9" s="39"/>
      <c r="N9" s="39"/>
      <c r="O9" s="34" t="str">
        <f>'Municipal Comparison'!O9</f>
        <v>Per cent of residents with limited English proficiency, 2021</v>
      </c>
      <c r="P9" s="9"/>
      <c r="Q9" s="9"/>
      <c r="R9" s="9"/>
      <c r="S9" s="9"/>
      <c r="T9" s="9"/>
    </row>
    <row r="10" spans="1:20" ht="13.5" customHeight="1" x14ac:dyDescent="0.3">
      <c r="A10" s="32"/>
      <c r="B10" s="130"/>
      <c r="C10" s="130"/>
      <c r="D10" s="130"/>
      <c r="E10" s="130"/>
      <c r="F10" s="130"/>
      <c r="G10" s="130"/>
      <c r="H10" s="130"/>
      <c r="I10" s="130"/>
      <c r="J10" s="130"/>
      <c r="K10" s="130"/>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2"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2"/>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2"/>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2"/>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2"/>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2"/>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2"/>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2"/>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2"/>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2"/>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2"/>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2"/>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2"/>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2"/>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2"/>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2"/>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2"/>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2"/>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2"/>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2"/>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2"/>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2"/>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2"/>
      <c r="B37" s="131" t="str">
        <f>INDEX(O9:O113,Correlations!C12)</f>
        <v>Birth rate per 1,000 women aged 20-24, 2022</v>
      </c>
      <c r="C37" s="131"/>
      <c r="D37" s="131"/>
      <c r="E37" s="131"/>
      <c r="F37" s="131"/>
      <c r="G37" s="131"/>
      <c r="H37" s="131"/>
      <c r="I37" s="131"/>
      <c r="J37" s="131"/>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3"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3"/>
      <c r="D39" s="133"/>
      <c r="E39" s="133"/>
      <c r="F39" s="133"/>
      <c r="G39" s="133"/>
      <c r="H39" s="133"/>
      <c r="I39" s="133"/>
      <c r="J39" s="133"/>
      <c r="K39" s="133"/>
      <c r="L39" s="133"/>
      <c r="M39" s="54"/>
      <c r="N39" s="39"/>
      <c r="O39" s="34" t="str">
        <f>'Municipal Comparison'!O39</f>
        <v>Median weekly gross individual income, persons aged 15 years or more, 2021</v>
      </c>
      <c r="P39" s="9"/>
      <c r="Q39" s="9"/>
      <c r="R39" s="9"/>
      <c r="S39" s="9"/>
      <c r="T39" s="9"/>
    </row>
    <row r="40" spans="1:20" ht="15.75" customHeight="1" x14ac:dyDescent="0.3">
      <c r="A40" s="32"/>
      <c r="B40" s="133"/>
      <c r="C40" s="133"/>
      <c r="D40" s="133"/>
      <c r="E40" s="133"/>
      <c r="F40" s="133"/>
      <c r="G40" s="133"/>
      <c r="H40" s="133"/>
      <c r="I40" s="133"/>
      <c r="J40" s="133"/>
      <c r="K40" s="133"/>
      <c r="L40" s="133"/>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A10830308</value>
    </field>
    <field name="Objective-Title">
      <value order="0">Indicators of Health &amp; Wellbeing - Vic municipalities 2024</value>
    </field>
    <field name="Objective-Description">
      <value order="0"/>
    </field>
    <field name="Objective-CreationStamp">
      <value order="0">2024-04-11T01:14:32Z</value>
    </field>
    <field name="Objective-IsApproved">
      <value order="0">false</value>
    </field>
    <field name="Objective-IsPublished">
      <value order="0">true</value>
    </field>
    <field name="Objective-DatePublished">
      <value order="0">2024-04-11T01:18:50Z</value>
    </field>
    <field name="Objective-ModificationStamp">
      <value order="0">2024-04-11T03:28:39Z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vA13718390</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2024-04-01T06:08:35Z</cp:lastPrinted>
  <dcterms:created xsi:type="dcterms:W3CDTF">2008-10-31T04:37:52Z</dcterms:created>
  <dcterms:modified xsi:type="dcterms:W3CDTF">2024-04-11T01:14:15Z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A10830308</vt:lpwstr>
  </property>
  <property fmtid="{D5CDD505-2E9C-101B-9397-08002B2CF9AE}" pid="4" name="Objective-Title">
    <vt:lpwstr>Indicators of Health &amp; Wellbeing - Vic municipalities 2024</vt:lpwstr>
  </property>
  <property fmtid="{D5CDD505-2E9C-101B-9397-08002B2CF9AE}" pid="5" name="Objective-Description">
    <vt:lpwstr/>
  </property>
  <property fmtid="{D5CDD505-2E9C-101B-9397-08002B2CF9AE}" pid="6" name="Objective-CreationStamp">
    <vt:filetime>2024-04-11T01:14:32Z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2024-04-11T01:18:50Z</vt:filetime>
  </property>
  <property fmtid="{D5CDD505-2E9C-101B-9397-08002B2CF9AE}" pid="10" name="Objective-ModificationStamp">
    <vt:filetime>2024-04-11T03:28:39Z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vA13718390</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