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5b4e10ee08f45a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 Work - Dump\"/>
    </mc:Choice>
  </mc:AlternateContent>
  <xr:revisionPtr revIDLastSave="0" documentId="8_{BF7BB480-63FA-4024-9E1B-2052B2A38907}" xr6:coauthVersionLast="47" xr6:coauthVersionMax="47" xr10:uidLastSave="{00000000-0000-0000-0000-000000000000}"/>
  <bookViews>
    <workbookView xWindow="-110" yWindow="-110" windowWidth="19420" windowHeight="1042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Data'!$C$6:$D$502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32" l="1"/>
  <c r="G4" i="32"/>
  <c r="F4" i="32"/>
  <c r="D4" i="32"/>
  <c r="P30" i="1"/>
  <c r="P5" i="1"/>
  <c r="K4" i="1"/>
  <c r="S5" i="1"/>
  <c r="R5" i="1"/>
  <c r="C4" i="32" l="1"/>
  <c r="E4" i="32"/>
  <c r="H85" i="1"/>
  <c r="H92" i="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O5" i="1"/>
  <c r="M5" i="1"/>
  <c r="L83" i="21" l="1"/>
  <c r="K83" i="21"/>
  <c r="J4" i="1"/>
  <c r="K5" i="1"/>
  <c r="J6" i="1"/>
  <c r="I85" i="1"/>
  <c r="I84" i="1"/>
  <c r="H84" i="1"/>
  <c r="F85" i="1"/>
  <c r="F84" i="1"/>
  <c r="E85" i="1"/>
  <c r="E84"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C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N5" i="1" l="1"/>
  <c r="Z96" i="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R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E9" i="19" s="1"/>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<sst xmlns="http://schemas.openxmlformats.org/spreadsheetml/2006/main" count="4409" uniqueCount="1247">
  <si>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</si>
  <si>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</si>
  <si>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</si>
  <si>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</si>
  <si>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</si>
  <si>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</si>
  <si>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</si>
  <si>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</si>
  <si>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</si>
  <si>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</si>
  <si>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</si>
  <si>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</si>
  <si>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</si>
  <si>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</si>
  <si>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</si>
  <si>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</si>
  <si>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</si>
  <si>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</si>
  <si>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</si>
  <si>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</si>
  <si>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</si>
  <si>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</si>
  <si>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</si>
  <si>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</si>
  <si>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</si>
  <si>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</si>
  <si>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</si>
  <si>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</si>
  <si>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</si>
  <si>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</si>
  <si>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</si>
  <si>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</si>
  <si>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</si>
  <si>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</si>
  <si>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</si>
  <si>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</si>
  <si>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</si>
  <si>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</si>
  <si>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</si>
  <si>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</si>
  <si>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</si>
  <si>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</si>
  <si>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</si>
  <si>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</si>
  <si>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</si>
  <si>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</si>
  <si>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</si>
  <si>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</si>
  <si>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</si>
  <si>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</si>
  <si>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</si>
  <si>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</si>
  <si>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</si>
  <si>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</si>
  <si>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</si>
  <si>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</si>
  <si>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</si>
  <si>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</si>
  <si>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</si>
  <si>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</si>
  <si>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</si>
  <si>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</si>
  <si>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</si>
  <si>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</si>
  <si>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</si>
  <si>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</si>
  <si>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</si>
  <si>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</si>
  <si>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</si>
  <si>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</si>
  <si>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</si>
  <si>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</si>
  <si>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</si>
  <si>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</si>
  <si>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</si>
  <si>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</si>
  <si>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</si>
  <si>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</si>
  <si>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</si>
  <si>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</si>
  <si>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</si>
  <si>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</si>
  <si>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</si>
  <si>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</si>
  <si>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</si>
  <si>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</si>
  <si>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</si>
  <si>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</si>
  <si>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</si>
  <si>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</si>
  <si>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</si>
  <si>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</si>
  <si>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</si>
  <si>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</si>
  <si>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</si>
  <si>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</si>
  <si>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</si>
  <si>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</si>
  <si>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</si>
  <si>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</si>
  <si>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</si>
  <si>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</si>
  <si>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</si>
  <si>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</si>
  <si>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</si>
  <si>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</si>
  <si>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</si>
  <si>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</si>
  <si>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</si>
  <si>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</si>
  <si>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</si>
  <si>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</si>
  <si>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</si>
  <si>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</si>
  <si>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</si>
  <si>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</si>
  <si>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</si>
  <si>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</si>
  <si>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</si>
  <si>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</si>
  <si>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</si>
  <si>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</si>
  <si>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</si>
  <si>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</si>
  <si>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</si>
  <si>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</si>
  <si>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</si>
  <si>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</si>
  <si>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</si>
  <si>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</si>
  <si>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</si>
  <si>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</si>
  <si>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</si>
  <si>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</si>
  <si>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</si>
  <si>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</si>
  <si>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</si>
  <si>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</si>
  <si>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</si>
  <si>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</si>
  <si>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</si>
  <si>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</si>
  <si>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</si>
  <si>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</si>
  <si>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</si>
  <si>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</si>
  <si>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</si>
  <si>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</si>
  <si>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</si>
  <si>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</si>
  <si>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</si>
  <si>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</si>
  <si>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</si>
  <si>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</si>
  <si>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</si>
  <si>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</si>
  <si>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</si>
  <si>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</si>
  <si>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</si>
  <si>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</si>
  <si>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</si>
  <si>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</si>
  <si>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</si>
  <si>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</si>
  <si>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</si>
  <si>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</si>
  <si>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</si>
  <si>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</si>
  <si>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</si>
  <si>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</si>
  <si>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</si>
  <si>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</si>
  <si>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</si>
  <si>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</si>
  <si>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</si>
  <si>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</si>
  <si>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</si>
  <si>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</si>
  <si>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</si>
  <si>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</si>
  <si>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</si>
  <si>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</si>
  <si>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</si>
  <si>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</si>
  <si>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</si>
  <si>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</si>
  <si>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</si>
  <si>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</si>
  <si>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</si>
  <si>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</si>
  <si>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</si>
  <si>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</si>
  <si>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</si>
  <si>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</si>
  <si>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</si>
  <si>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</si>
  <si>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</si>
  <si>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</si>
  <si>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</si>
  <si>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</si>
  <si>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</si>
  <si>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</si>
  <si>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</si>
  <si>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</si>
  <si>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</si>
  <si>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</si>
  <si>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</si>
  <si>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</si>
  <si>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</si>
  <si>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</si>
  <si>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</si>
  <si>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</si>
  <si>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</si>
  <si>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</si>
  <si>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</si>
  <si>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</si>
  <si>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</si>
  <si>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</si>
  <si>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</si>
  <si>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</si>
  <si>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</si>
  <si>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</si>
  <si>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</si>
  <si>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</si>
  <si>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</si>
  <si>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</si>
  <si>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</si>
  <si>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</si>
  <si>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</si>
  <si>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</si>
  <si>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</si>
  <si>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</si>
  <si>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</si>
  <si>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</si>
  <si>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</si>
  <si>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</si>
  <si>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</si>
  <si>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</si>
  <si>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</si>
  <si>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</si>
  <si>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</si>
  <si>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</si>
  <si>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</si>
  <si>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</si>
  <si>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</si>
  <si>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</si>
  <si>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</si>
  <si>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</si>
  <si>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</si>
  <si>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</si>
  <si>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</si>
  <si>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</si>
  <si>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</si>
  <si>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</si>
  <si>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</si>
  <si>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</si>
  <si>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</si>
  <si>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</si>
  <si>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</si>
  <si>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</si>
  <si>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</si>
  <si>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</si>
  <si>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</si>
  <si>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</si>
  <si>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</si>
  <si>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</si>
  <si>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</si>
  <si>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</si>
  <si>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</si>
  <si>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</si>
  <si>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</si>
  <si>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</si>
  <si>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</si>
  <si>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</si>
  <si>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</si>
  <si>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</si>
  <si>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</si>
  <si>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</si>
  <si>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</si>
  <si>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</si>
  <si>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</si>
  <si>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</si>
  <si>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</si>
  <si>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</si>
  <si>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</si>
  <si>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</si>
  <si>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</si>
  <si>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</si>
  <si>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</si>
  <si>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</si>
  <si>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</si>
  <si>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</si>
  <si>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</si>
  <si>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</si>
  <si>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</si>
  <si>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</si>
  <si>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</si>
  <si>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</si>
  <si>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</si>
  <si>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</si>
  <si>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</si>
  <si>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</si>
  <si>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</si>
  <si>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</si>
  <si>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</si>
  <si>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</si>
  <si>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</si>
  <si>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</si>
  <si>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</si>
  <si>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</si>
  <si>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</si>
  <si>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</si>
  <si>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</si>
  <si>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</si>
  <si>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</si>
  <si>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</si>
  <si>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</si>
  <si>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</si>
  <si>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</si>
  <si>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</si>
  <si>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</si>
  <si>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</si>
  <si>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</si>
  <si>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</si>
  <si>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</si>
  <si>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</si>
  <si>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</si>
  <si>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</si>
  <si>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</si>
  <si>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</si>
  <si>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</si>
  <si>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</si>
  <si>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</si>
  <si>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</si>
  <si>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</si>
  <si>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</si>
  <si>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</si>
  <si>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</si>
  <si>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</si>
  <si>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</si>
  <si>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</si>
  <si>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</si>
  <si>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</si>
  <si>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</si>
  <si>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</si>
  <si>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</si>
  <si>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</si>
  <si>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</si>
  <si>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</si>
  <si>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</si>
  <si>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</si>
  <si>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</si>
  <si>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</si>
  <si>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</si>
  <si>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</si>
  <si>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</si>
  <si>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</si>
  <si>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</si>
  <si>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</si>
  <si>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</si>
  <si>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</si>
  <si>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</si>
  <si>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</si>
  <si>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</si>
  <si>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</si>
  <si>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</si>
  <si>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</si>
  <si>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</si>
  <si>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</si>
  <si>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</si>
  <si>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</si>
  <si>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</si>
  <si>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</si>
  <si>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</si>
  <si>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</si>
  <si>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</si>
  <si>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</si>
  <si>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</si>
  <si>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</si>
  <si>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</si>
  <si>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</si>
  <si>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</si>
  <si>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</si>
  <si>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</si>
  <si>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</si>
  <si>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</si>
  <si>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</si>
  <si>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</si>
  <si>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</si>
  <si>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</si>
  <si>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</si>
  <si>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</si>
  <si>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</si>
  <si>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</si>
  <si>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</si>
  <si>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</si>
  <si>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</si>
  <si>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</si>
  <si>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</si>
  <si>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</si>
  <si>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</si>
  <si>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</si>
  <si>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</si>
  <si>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</si>
  <si>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</si>
  <si>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</si>
  <si>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</si>
  <si>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</si>
  <si>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</si>
  <si>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</si>
  <si>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</si>
  <si>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</si>
  <si>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</si>
  <si>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</si>
  <si>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</si>
  <si>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</si>
  <si>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</si>
  <si>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</si>
  <si>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</si>
  <si>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</si>
  <si>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</si>
  <si>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</si>
  <si>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</si>
  <si>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</si>
  <si>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</si>
  <si>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</si>
  <si>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</si>
  <si>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</si>
  <si>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</si>
  <si>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</si>
  <si>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</si>
  <si>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</si>
  <si>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</si>
  <si>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</si>
  <si>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</si>
  <si>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</si>
  <si>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</si>
  <si>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</si>
  <si>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</si>
  <si>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</si>
  <si>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</si>
  <si>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</si>
  <si>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</si>
  <si>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</si>
  <si>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</si>
  <si>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</si>
  <si>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</si>
  <si>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</si>
  <si>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</si>
  <si>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</si>
  <si>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</si>
  <si>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</si>
  <si>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</si>
  <si>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</si>
  <si>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</si>
  <si>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</si>
  <si>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</si>
  <si>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</si>
  <si>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</si>
  <si>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</si>
  <si>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</si>
  <si>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</si>
  <si>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</si>
  <si>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</si>
  <si>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</si>
  <si>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</si>
  <si>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</si>
  <si>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</si>
  <si>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</si>
  <si>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</si>
  <si>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</si>
  <si>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</si>
  <si>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</si>
  <si>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</si>
  <si>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</si>
  <si>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</si>
  <si>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</si>
  <si>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</si>
  <si>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</si>
  <si>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</si>
  <si>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</si>
  <si>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</si>
  <si>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</si>
  <si>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</si>
  <si>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</si>
  <si>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</si>
  <si>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</si>
  <si>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</si>
  <si>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</si>
  <si>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</si>
  <si>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</si>
  <si>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</si>
  <si>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</si>
  <si>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</si>
  <si>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</si>
  <si>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</si>
  <si>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</si>
  <si>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</si>
  <si>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</si>
  <si>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</si>
  <si>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</si>
  <si>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</si>
  <si>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</si>
  <si>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</si>
  <si>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</si>
  <si>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</si>
  <si>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</si>
  <si>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</si>
  <si>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</si>
  <si>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</si>
  <si>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</si>
  <si>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</si>
  <si>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</si>
  <si>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</si>
  <si>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</si>
  <si>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</si>
  <si>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</si>
  <si>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</si>
  <si>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</si>
  <si>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</si>
  <si>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</si>
  <si>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</si>
  <si>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</si>
  <si>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</si>
  <si>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</si>
  <si>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</si>
  <si>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</si>
  <si>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</si>
  <si>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</si>
  <si>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</si>
  <si>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</si>
  <si>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</si>
  <si>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</si>
  <si>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</si>
  <si>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</si>
  <si>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</si>
  <si>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</si>
  <si>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</si>
  <si>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</si>
  <si>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</si>
  <si>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</si>
  <si>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</si>
  <si>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</si>
  <si>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</si>
  <si>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</si>
  <si>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</si>
  <si>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</si>
  <si>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</si>
  <si>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</si>
  <si>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</si>
  <si>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</si>
  <si>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</si>
  <si>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</si>
  <si>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</si>
  <si>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</si>
  <si>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</si>
  <si>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</si>
  <si>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</si>
  <si>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</si>
  <si>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</si>
  <si>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</si>
  <si>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</si>
  <si>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</si>
  <si>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</si>
  <si>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</si>
  <si>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</si>
  <si>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</si>
  <si>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</si>
  <si>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</si>
  <si>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</si>
  <si>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</si>
  <si>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</si>
  <si>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</si>
  <si>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</si>
  <si>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</si>
  <si>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</si>
  <si>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</si>
  <si>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</si>
  <si>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</si>
  <si>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</si>
  <si>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</si>
  <si>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</si>
  <si>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</si>
  <si>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</si>
  <si>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</si>
  <si>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</si>
  <si>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</si>
  <si>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Electronic Gaming Machine Venue Level Expenditure</t>
  </si>
  <si>
    <t>Number of venues</t>
  </si>
  <si>
    <t>Average losses per EGM</t>
  </si>
  <si>
    <t>Ave Losses per venue</t>
  </si>
  <si>
    <t>Losses</t>
  </si>
  <si>
    <t>Expenditure (millions)</t>
  </si>
  <si>
    <t>Bairnsdale Sporting And Convention Centr</t>
  </si>
  <si>
    <t>Essendon Football &amp; Community Sporting C</t>
  </si>
  <si>
    <t>Italian Australian Sporting And Social C</t>
  </si>
  <si>
    <t>Figures from LGA-level Monthly Data, for comparison</t>
  </si>
  <si>
    <r>
      <t xml:space="preserve">                                                                                       Select a locality, below    </t>
    </r>
    <r>
      <rPr>
        <sz val="9"/>
        <color indexed="8"/>
        <rFont val="Wingdings 2"/>
        <family val="1"/>
        <charset val="2"/>
      </rPr>
      <t>K</t>
    </r>
    <r>
      <rPr>
        <sz val="9"/>
        <color indexed="8"/>
        <rFont val="Palatino"/>
        <family val="1"/>
      </rPr>
      <t xml:space="preserve">   </t>
    </r>
  </si>
  <si>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</si>
  <si>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</si>
  <si>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</si>
  <si>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</si>
  <si>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</si>
  <si>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</si>
  <si>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</si>
  <si>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</si>
  <si>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</si>
  <si>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</si>
  <si>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</si>
  <si>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</si>
  <si>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</si>
  <si>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</si>
  <si>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</si>
  <si>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</si>
  <si>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</si>
  <si>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</si>
  <si>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</si>
  <si>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</si>
  <si>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</si>
  <si>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</si>
  <si>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</si>
  <si>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</si>
  <si>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</si>
  <si>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</si>
  <si>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</si>
  <si>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</si>
  <si>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</si>
  <si>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</si>
  <si>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</si>
  <si>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</si>
  <si>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</si>
  <si>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</si>
  <si>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</si>
  <si>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</si>
  <si>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</si>
  <si>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</si>
  <si>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</si>
  <si>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</si>
  <si>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</si>
  <si>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</si>
  <si>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</si>
  <si>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</si>
  <si>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</si>
  <si>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</si>
  <si>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</si>
  <si>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</si>
  <si>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</si>
  <si>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</si>
  <si>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</si>
  <si>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</si>
  <si>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</si>
  <si>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</si>
  <si>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</si>
  <si>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</si>
  <si>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</si>
  <si>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</si>
  <si>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</si>
  <si>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</si>
  <si>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</si>
  <si>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</si>
  <si>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</si>
  <si>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</si>
  <si>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</si>
  <si>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</si>
  <si>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</si>
  <si>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</si>
  <si>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</si>
  <si>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</si>
  <si>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</si>
  <si>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</si>
  <si>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</si>
  <si>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</si>
  <si>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</si>
  <si>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</si>
  <si>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</si>
  <si>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</si>
  <si>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</si>
  <si>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</si>
  <si>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</si>
  <si>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</si>
  <si>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</si>
  <si>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</si>
  <si>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</si>
  <si>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</si>
  <si>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</si>
  <si>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</si>
  <si>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</si>
  <si>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</si>
  <si>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</si>
  <si>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</si>
  <si>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</si>
  <si>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</si>
  <si>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</si>
  <si>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</si>
  <si>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Losses 22/23 ($Million)</t>
  </si>
  <si>
    <t>2023 June</t>
  </si>
  <si>
    <t>EGMs per 1,000 adults:
 2023</t>
  </si>
  <si>
    <t>Ranked EGMs per 1,000 adults: 2023</t>
  </si>
  <si>
    <r>
      <t xml:space="preserve">Venues: 2023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</si>
  <si>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 Change in Losses in year 2022/2023</t>
  </si>
  <si>
    <t>Total Population 2023 (ABS Ann est.)</t>
  </si>
  <si>
    <t>2024 June</t>
  </si>
  <si>
    <r>
      <t xml:space="preserve">Adult pop. 2023 </t>
    </r>
    <r>
      <rPr>
        <sz val="7"/>
        <color rgb="FF000080"/>
        <rFont val="Garamond"/>
        <family val="1"/>
      </rPr>
      <t>(as at left, adjusted by % 2023 pop in Vic forecasts who were adults)</t>
    </r>
  </si>
  <si>
    <t>Losses 23/24 ($Million)</t>
  </si>
  <si>
    <t>Ranked Losses: 
2023/2024</t>
  </si>
  <si>
    <t>Losses per adult: 2023/24</t>
  </si>
  <si>
    <t>Ranked losses per adult: 2023/24</t>
  </si>
  <si>
    <t>Per cent change in losses: 
 2022/23 to 2023/24</t>
  </si>
  <si>
    <t>Per cent change in losses adjusted for inflation: 
 2022/23 to 2023/24</t>
  </si>
  <si>
    <t>Ranked per cent change in losses:
2022/23 to 2023/24</t>
  </si>
  <si>
    <t>Venues mid-2024</t>
  </si>
  <si>
    <t>EGMs June 2024</t>
  </si>
  <si>
    <t>EGMs per 1,000 adults: 2023/24</t>
  </si>
  <si>
    <t>Per cent change in losses:  2022/23 to 2023/24</t>
  </si>
  <si>
    <r>
      <t>Updated:</t>
    </r>
    <r>
      <rPr>
        <b/>
        <sz val="8"/>
        <color theme="1"/>
        <rFont val="Palatino"/>
        <family val="1"/>
      </rPr>
      <t xml:space="preserve">  July, 2024</t>
    </r>
  </si>
  <si>
    <r>
      <t xml:space="preserve">Attached EGMs: June 2024 </t>
    </r>
    <r>
      <rPr>
        <sz val="8"/>
        <color indexed="18"/>
        <rFont val="Palatino"/>
      </rPr>
      <t>(1)</t>
    </r>
  </si>
  <si>
    <t>EGMs per 1,000 Adults: 2023/2024</t>
  </si>
  <si>
    <t>EGM Gambing Losses 2023/2024</t>
  </si>
  <si>
    <r>
      <t xml:space="preserve">Losses per Adult 2023/2024 </t>
    </r>
    <r>
      <rPr>
        <sz val="8"/>
        <color indexed="18"/>
        <rFont val="Palatino"/>
      </rPr>
      <t>(2)</t>
    </r>
  </si>
  <si>
    <t xml:space="preserve">Sources of data used here: Victorian Gambling and Casino Control Commission 2024 (EGM gambling losses and EGM numbers), the Victorian Department of Environment, Land, Water and Planning (est. population by age, 2023), and Australian Bureau of Statistics 2023  (estimated municipal population 2023). </t>
  </si>
  <si>
    <t>2  Based on losses published by the VGCCC in July 2024, divided by the estimated adult populations for 2023, from Regional Population Estimates, ABS (total pops.) and Victoria in Future, Vic. Govt. (for % adults)</t>
  </si>
  <si>
    <t>3  Calculated using the CPI indicies for Melbourne</t>
  </si>
  <si>
    <t>Name</t>
  </si>
  <si>
    <t>Address</t>
  </si>
  <si>
    <t>Type</t>
  </si>
  <si>
    <t>Att entitlements</t>
  </si>
  <si>
    <t>Licensed EGMs</t>
  </si>
  <si>
    <t>Losses 23/24</t>
  </si>
  <si>
    <t>377 LYGON STREET</t>
  </si>
  <si>
    <t>CNR HUTTON AND SPRINGVALE ROADS</t>
  </si>
  <si>
    <t>2 CHARLES STREET</t>
  </si>
  <si>
    <t>327 LONSDALE STREET</t>
  </si>
  <si>
    <t>134 BROWN STREET</t>
  </si>
  <si>
    <t>171-183 MCIVOR HIGHWAY</t>
  </si>
  <si>
    <t>113 CIVIC PARADE</t>
  </si>
  <si>
    <t>31 SARGOOD STREET</t>
  </si>
  <si>
    <t>11 ALTONA ROAD</t>
  </si>
  <si>
    <t>239-249 Hare Street</t>
  </si>
  <si>
    <t>1000 CRANBOURNE-FRANKSTON ROAD</t>
  </si>
  <si>
    <t>GOLF LINKS ROAD</t>
  </si>
  <si>
    <t>74-76 HIGH STREET</t>
  </si>
  <si>
    <t>226 BALLARAT ROAD</t>
  </si>
  <si>
    <t>185 MURRAY STREET</t>
  </si>
  <si>
    <t>101-111 SEPARATION STREET</t>
  </si>
  <si>
    <t>LINKS ROAD</t>
  </si>
  <si>
    <t>CNR GRANT &amp; PEARSON STS</t>
  </si>
  <si>
    <t>68 NICHOLSON STREET</t>
  </si>
  <si>
    <t>2 FORGE CREEK ROAD</t>
  </si>
  <si>
    <t>355 VICTORIA STREET</t>
  </si>
  <si>
    <t>123 CARLISLE STREET</t>
  </si>
  <si>
    <t>BRAY RACEWAY, BELL STREET</t>
  </si>
  <si>
    <t>1800 STURT STREET</t>
  </si>
  <si>
    <t>52 HUMFFRAY STREET NORTH</t>
  </si>
  <si>
    <t>117 BAXTER-TOORADIN ROAD</t>
  </si>
  <si>
    <t>780 MOUNTAIN HIGHWAY</t>
  </si>
  <si>
    <t>34-70 CALVERT STREET</t>
  </si>
  <si>
    <t>157 MORAY STREET</t>
  </si>
  <si>
    <t>25 ARUNDEL STREET</t>
  </si>
  <si>
    <t>MANSFIELD ROAD</t>
  </si>
  <si>
    <t>73-75 HAVILAH ROAD</t>
  </si>
  <si>
    <t>134 MARONG ROAD</t>
  </si>
  <si>
    <t>538 CENTRE ROAD</t>
  </si>
  <si>
    <t>1 HIGH STREET</t>
  </si>
  <si>
    <t>288-296 CLYDE ROAD</t>
  </si>
  <si>
    <t>97-99 MELROSE DRIVE</t>
  </si>
  <si>
    <t>111 WHITEHORSE ROAD</t>
  </si>
  <si>
    <t>4315 ANZAC PARADE</t>
  </si>
  <si>
    <t>Bleakhouse Hotel</t>
  </si>
  <si>
    <t>97 BEACONSFIELD PARADE</t>
  </si>
  <si>
    <t>1216 HOWITT STREET</t>
  </si>
  <si>
    <t>112 BORONIA ROAD</t>
  </si>
  <si>
    <t>726 CENTRE ROAD</t>
  </si>
  <si>
    <t>128 BOURKE STREET</t>
  </si>
  <si>
    <t>202 STATION STREET</t>
  </si>
  <si>
    <t>26 NELSON ROAD</t>
  </si>
  <si>
    <t>353 BALLARAT ROAD</t>
  </si>
  <si>
    <t>1425 PLENTY ROAD</t>
  </si>
  <si>
    <t>4 THE ESPLANADE</t>
  </si>
  <si>
    <t>111 SUNSET BOULEVARD</t>
  </si>
  <si>
    <t>502 SYDNEY ROAD</t>
  </si>
  <si>
    <t>49 PLENTY ROAD</t>
  </si>
  <si>
    <t>CNR SPRINGVALE ROAD &amp; BURWOOD HIGHWAY</t>
  </si>
  <si>
    <t>71 RACECOURSE ROAD</t>
  </si>
  <si>
    <t>200 BEACONSFIELD - EMERALD ROAD</t>
  </si>
  <si>
    <t>55 O'HERNS ROAD</t>
  </si>
  <si>
    <t>108 PRINCES HIGHWAY</t>
  </si>
  <si>
    <t>STATION STREET</t>
  </si>
  <si>
    <t>4 ST GEORGES ROAD</t>
  </si>
  <si>
    <t>Central Point Melbourne</t>
  </si>
  <si>
    <t>315-321 ELIZABETH STREET</t>
  </si>
  <si>
    <t>285-287 SPRINGVALE ROAD</t>
  </si>
  <si>
    <t>118 GOLF LINKS ROAD</t>
  </si>
  <si>
    <t>1 WELLS ROAD</t>
  </si>
  <si>
    <t>289 CENTRE DANDENONG ROAD</t>
  </si>
  <si>
    <t>189 REYNOLDS ROAD</t>
  </si>
  <si>
    <t>68 KINGSWOOD DRIVE</t>
  </si>
  <si>
    <t>CENTRAL RESERVE, GRAVESEND STREET</t>
  </si>
  <si>
    <t>41-55 HIGH STREET</t>
  </si>
  <si>
    <t>50-58 CRAMER STREET</t>
  </si>
  <si>
    <t>SPRINGS ROAD</t>
  </si>
  <si>
    <t>163 CARINISH ROAD</t>
  </si>
  <si>
    <t>92-94 CLEARWATER DRIVE</t>
  </si>
  <si>
    <t>SHOP 17, FLINDERS STREET RAILWAY STATION</t>
  </si>
  <si>
    <t>Club Eastwood</t>
  </si>
  <si>
    <t>117 OMEO HIGHWAY</t>
  </si>
  <si>
    <t>848 BURWOOD HIGHWAY</t>
  </si>
  <si>
    <t>51 QUEEN STREET</t>
  </si>
  <si>
    <t>128-152 FURLONG ROAD</t>
  </si>
  <si>
    <t>CNR CANTERBURY AND COLCHESTER ROADS</t>
  </si>
  <si>
    <t>15 AVIATION ROAD</t>
  </si>
  <si>
    <t>17 LEEDS STREET</t>
  </si>
  <si>
    <t>3 NIKI PL</t>
  </si>
  <si>
    <t>523-531 MAROONDAH HIGHWAY</t>
  </si>
  <si>
    <t>Club Tarneit</t>
  </si>
  <si>
    <t>620 LEAKES ROAD</t>
  </si>
  <si>
    <t>NEYLON STREET</t>
  </si>
  <si>
    <t>8-18 STATION STREET</t>
  </si>
  <si>
    <t>CNR MOORE AND ARMSTRONG STREETS</t>
  </si>
  <si>
    <t>21 MURRAY STREET</t>
  </si>
  <si>
    <t>115 MANIFOLD STREET</t>
  </si>
  <si>
    <t>91-105 CAMPBELL STREET</t>
  </si>
  <si>
    <t>111 WATTON STREET</t>
  </si>
  <si>
    <t>CNR BARRY ROAD &amp; MAFFRA STREET</t>
  </si>
  <si>
    <t>RECREATION RESERVE</t>
  </si>
  <si>
    <t>116 MAIN STREET</t>
  </si>
  <si>
    <t>166 NICHOLSON STREET</t>
  </si>
  <si>
    <t>270 CHAPEL STREET</t>
  </si>
  <si>
    <t>WILLMOTT PARK, CRAIGIEBURN ROAD</t>
  </si>
  <si>
    <t>10 LYDIARD STREET SOUTH</t>
  </si>
  <si>
    <t>1 CRAMER STREET</t>
  </si>
  <si>
    <t>1475 SOUTH GIPPSLAND HIGHWAY</t>
  </si>
  <si>
    <t>350 PASCOE VALE ROAD</t>
  </si>
  <si>
    <t>273 MAIN STREET</t>
  </si>
  <si>
    <t>607-619 HIGH STREET</t>
  </si>
  <si>
    <t>47 MAROONDAH HIGHWAY</t>
  </si>
  <si>
    <t>191 BARKER STREET</t>
  </si>
  <si>
    <t>1579 HEATHERTON ROAD</t>
  </si>
  <si>
    <t>44 - 50 CLOW STREET</t>
  </si>
  <si>
    <t>48 WEDGE STREET</t>
  </si>
  <si>
    <t>402 BELL STREET</t>
  </si>
  <si>
    <t>610 THE ESPLANADE</t>
  </si>
  <si>
    <t>8 CAMP STREET</t>
  </si>
  <si>
    <t>780 BALLARAT ROAD</t>
  </si>
  <si>
    <t>760 BALLARAT ROAD</t>
  </si>
  <si>
    <t>132 DURHAM ROAD</t>
  </si>
  <si>
    <t>Derrimut Hotel( Closed )</t>
  </si>
  <si>
    <t>29 MAIN ROAD</t>
  </si>
  <si>
    <t>32 CHAPEL STREET</t>
  </si>
  <si>
    <t>334 BOUNDARY ROAD</t>
  </si>
  <si>
    <t>855 DONCASTER ROAD</t>
  </si>
  <si>
    <t>335 DORSET ROAD</t>
  </si>
  <si>
    <t>151-165 NEPEAN HIGHWAY</t>
  </si>
  <si>
    <t>613 SYDNEY ROAD</t>
  </si>
  <si>
    <t>430-436 SYDNEY ROAD</t>
  </si>
  <si>
    <t>LIVERPOOL ROAD</t>
  </si>
  <si>
    <t>569-571 HIGH STREET</t>
  </si>
  <si>
    <t>165 -171 ANNESLEY STREET</t>
  </si>
  <si>
    <t>4 THAMES PROMENADE</t>
  </si>
  <si>
    <t>257 EDWARDES STREET</t>
  </si>
  <si>
    <t>51-53 ELGIN BOULEVARD</t>
  </si>
  <si>
    <t>259 BRIGHTON ROAD</t>
  </si>
  <si>
    <t>746 MAIN ROAD</t>
  </si>
  <si>
    <t>743 HIGH STREET</t>
  </si>
  <si>
    <t>EPPING PLAZA SHOPPING CENTRE, CNR HIGH &amp; COOPER ST</t>
  </si>
  <si>
    <t>195 HARVEST HOME ROAD</t>
  </si>
  <si>
    <t>1 A'BECKETT STREET</t>
  </si>
  <si>
    <t>Essendon Football &amp; Community Sporting Club</t>
  </si>
  <si>
    <t>CNR NAPIER STREET &amp; BREWSTER STREET</t>
  </si>
  <si>
    <t>82 MAHONEY'S ROAD</t>
  </si>
  <si>
    <t>65 PRINCES WAY</t>
  </si>
  <si>
    <t>135 LORNE STREET</t>
  </si>
  <si>
    <t>14 MERRICKS CLOSE</t>
  </si>
  <si>
    <t>1130 BURWOOD HIGHWAY</t>
  </si>
  <si>
    <t>1141 SYDNEY ROAD</t>
  </si>
  <si>
    <t>10691-10699 Princes Highway</t>
  </si>
  <si>
    <t>1529 DANDENONG ROAD</t>
  </si>
  <si>
    <t>7 RESERVE STREET</t>
  </si>
  <si>
    <t>FOUNTAIN GATE SHOPPING CENTRE, OVERLAND DRIVE</t>
  </si>
  <si>
    <t>183 CRANBOURNE ROAD</t>
  </si>
  <si>
    <t>784-796 SPRINGVALE ROAD</t>
  </si>
  <si>
    <t>1 MATISI STREET</t>
  </si>
  <si>
    <t>67 HYLAND STREET</t>
  </si>
  <si>
    <t>218 PRINCES HIGHWAY</t>
  </si>
  <si>
    <t>54 FELLMONGERS ROAD</t>
  </si>
  <si>
    <t>50 BARWON HEADS ROAD</t>
  </si>
  <si>
    <t>27 LYDIARD STREET NORTH</t>
  </si>
  <si>
    <t>186-202 MICKLEHAM ROAD</t>
  </si>
  <si>
    <t>214 GLENGALA ROAD</t>
  </si>
  <si>
    <t>186 GLENROY ROAD</t>
  </si>
  <si>
    <t>257-263 HIGH STREET</t>
  </si>
  <si>
    <t>117 LONSDALE STREET</t>
  </si>
  <si>
    <t>Golden Point Hotel</t>
  </si>
  <si>
    <t>629 - 643 MAIN ROAD</t>
  </si>
  <si>
    <t>920 DOVETON STREET NORTH</t>
  </si>
  <si>
    <t>63 BENTINCK STREET</t>
  </si>
  <si>
    <t>223 HIGH STREET</t>
  </si>
  <si>
    <t>141 GRAY STREET</t>
  </si>
  <si>
    <t>Grand Central Hotel (Hamilton)( Closed )</t>
  </si>
  <si>
    <t>499 NEPEAN HIGHWAY</t>
  </si>
  <si>
    <t>124 MAIN ROAD</t>
  </si>
  <si>
    <t>8-22 FRANKLIN STREET</t>
  </si>
  <si>
    <t>Midura</t>
  </si>
  <si>
    <t>13 DEAKIN AVENUE</t>
  </si>
  <si>
    <t>98 MACLEOD STREET</t>
  </si>
  <si>
    <t>177 ABERDEEN STREET</t>
  </si>
  <si>
    <t>GREEN GULLY RESERVE , CLUBHOUSE PLACE</t>
  </si>
  <si>
    <t>75 MAIN STREET</t>
  </si>
  <si>
    <t>111 MAIN STREET</t>
  </si>
  <si>
    <t>LIGHTWOOD ROAD</t>
  </si>
  <si>
    <t>10 BRIGHTON ROAD</t>
  </si>
  <si>
    <t>236-258 TORQUAY ROAD</t>
  </si>
  <si>
    <t>241 PRINCES HWY</t>
  </si>
  <si>
    <t>Hampton Bowls Club( Closed )</t>
  </si>
  <si>
    <t>CNR FEWSTER ROAD &amp; EARLSFIELD ROAD</t>
  </si>
  <si>
    <t>71 HALLAM ROAD</t>
  </si>
  <si>
    <t>636 HIGH STREET</t>
  </si>
  <si>
    <t>155 MARINE PARADE</t>
  </si>
  <si>
    <t>EPSOM ROAD</t>
  </si>
  <si>
    <t>275-279 MAROONDAH HIGHWAY</t>
  </si>
  <si>
    <t>1 STATION STREET</t>
  </si>
  <si>
    <t>301 GRAND BOULEVARD</t>
  </si>
  <si>
    <t>HIGHPOINT SHOPPING CENTRE, 200 ROSAMOND ROAD</t>
  </si>
  <si>
    <t>591-659 PRINCES HWY</t>
  </si>
  <si>
    <t>GOWRIE STREET</t>
  </si>
  <si>
    <t>92 HIGH STREET</t>
  </si>
  <si>
    <t>180 - 200 PANNAM DRIVE</t>
  </si>
  <si>
    <t>HOGANS RESERVE, HOGANS ROAD</t>
  </si>
  <si>
    <t>36 MCLACHLAN STREET</t>
  </si>
  <si>
    <t>177-181 BAILLIE ST</t>
  </si>
  <si>
    <t>520 SAYERS ROAD</t>
  </si>
  <si>
    <t>Italian Australian Sporting And Social Club Of Gippsland</t>
  </si>
  <si>
    <t>499-501 PRINCES HIGHWAY</t>
  </si>
  <si>
    <t>601 HEATHS ROAD</t>
  </si>
  <si>
    <t>120 UPPER HEIDELBERG ROAD</t>
  </si>
  <si>
    <t>211 RYRIE STREET</t>
  </si>
  <si>
    <t>1 PLENTY ROAD</t>
  </si>
  <si>
    <t>DOWER PARK, MACKENZIE STREET WEST</t>
  </si>
  <si>
    <t>248 SKYE ROAD</t>
  </si>
  <si>
    <t>CNR SUNSHINE AVENUE &amp; MAIN ROAD EAST</t>
  </si>
  <si>
    <t>12-22 HOFFMANS ROAD</t>
  </si>
  <si>
    <t>670 OLD CALDER HIGHWAY</t>
  </si>
  <si>
    <t>25 VICTORIA STREET</t>
  </si>
  <si>
    <t>CNR CORRIGAN &amp; CHELTENHAM RDS</t>
  </si>
  <si>
    <t>EAST STREET</t>
  </si>
  <si>
    <t>1989 FRANKSTON-FLINDERS ROAD</t>
  </si>
  <si>
    <t>774 THE ESPLANADE</t>
  </si>
  <si>
    <t>CNR STUD &amp; BORONIA ROADS</t>
  </si>
  <si>
    <t>1 CAPITAL CITY BOULEVARD, KNOX DISTRICT CENTRE</t>
  </si>
  <si>
    <t>WILGA AVENUE</t>
  </si>
  <si>
    <t>81 COMMERCIAL STREET</t>
  </si>
  <si>
    <t>82 ALLAN STREET</t>
  </si>
  <si>
    <t>61-79 MOLLISON STREET</t>
  </si>
  <si>
    <t>37-39 MOLLISON STREET</t>
  </si>
  <si>
    <t>CNR BULMER &amp; ROWE STREETS</t>
  </si>
  <si>
    <t>221 THE ESPLANADE</t>
  </si>
  <si>
    <t>2 FOSTER STREET</t>
  </si>
  <si>
    <t>CNR SYDNEY CRESCENT &amp; GORDON STREET</t>
  </si>
  <si>
    <t>CNR UNION &amp; CRANBOURNE ROADS</t>
  </si>
  <si>
    <t>8 - 12 HICKS STREET</t>
  </si>
  <si>
    <t>MILL ROAD</t>
  </si>
  <si>
    <t>CORNER SMITH STREET AND MICHAEL PLACE</t>
  </si>
  <si>
    <t>135 KENSINGTON ROAD</t>
  </si>
  <si>
    <t>1 KEILOR ROAD</t>
  </si>
  <si>
    <t>380 NEPEAN HIGHWAY</t>
  </si>
  <si>
    <t>3 WEST FYANS STREET</t>
  </si>
  <si>
    <t>176 MOUNTJOY PARADE</t>
  </si>
  <si>
    <t>2-8 MAIN ROAD</t>
  </si>
  <si>
    <t>550 SOUTH GIPPSLAND HIGHWAY</t>
  </si>
  <si>
    <t>322-332 HIGH STREET</t>
  </si>
  <si>
    <t>199 FAIRY STREET</t>
  </si>
  <si>
    <t>Mac'S Hotel (Warrnambool)( Closed )</t>
  </si>
  <si>
    <t>122 JOHNSON STREET</t>
  </si>
  <si>
    <t>688 BOURKE STREET</t>
  </si>
  <si>
    <t>1321 MALVERN ROAD</t>
  </si>
  <si>
    <t>CNR CANTERBURY &amp; HEATHERDALE ROADS</t>
  </si>
  <si>
    <t>1 THOMPSONS ROAD</t>
  </si>
  <si>
    <t>KIDSTON PARADE</t>
  </si>
  <si>
    <t>215 NEW STREET</t>
  </si>
  <si>
    <t>125 PARK ROAD</t>
  </si>
  <si>
    <t>35 HIGH STREET</t>
  </si>
  <si>
    <t>655 - 667 WARRIGAL ROAD</t>
  </si>
  <si>
    <t>2 BAIR STREET</t>
  </si>
  <si>
    <t>251 MCKINNON ROAD</t>
  </si>
  <si>
    <t>1435 SYDNEY ROAD</t>
  </si>
  <si>
    <t>MELTON RECREATION RESERVE, RESERVE ROAD</t>
  </si>
  <si>
    <t>Melton Entertainment Park</t>
  </si>
  <si>
    <t>2 FERRIS ROAD</t>
  </si>
  <si>
    <t>9 PALERMO STREET</t>
  </si>
  <si>
    <t>108 COMMERCIAL STREET</t>
  </si>
  <si>
    <t>330 HEINZ LANE</t>
  </si>
  <si>
    <t>CNR 15TH STREET &amp; SANMATEO AVENUE</t>
  </si>
  <si>
    <t>TWELFTH STREET</t>
  </si>
  <si>
    <t>130 MADDEN AVENUE</t>
  </si>
  <si>
    <t>Mildura Working Mans Sports &amp; Social Club</t>
  </si>
  <si>
    <t>90-124 DEAKIN AVENUE</t>
  </si>
  <si>
    <t>204 MILLERS ROAD</t>
  </si>
  <si>
    <t>556 MAROONDAH HIGHWAY</t>
  </si>
  <si>
    <t>59-61 MAIN STREET</t>
  </si>
  <si>
    <t>45 LLOYD STREET</t>
  </si>
  <si>
    <t>WATERLOO ROAD</t>
  </si>
  <si>
    <t>63 ALBERT STREET</t>
  </si>
  <si>
    <t>2071 - 2091 DANDENONG ROAD</t>
  </si>
  <si>
    <t>11 MOORES ROAD</t>
  </si>
  <si>
    <t>PETRIE PARK, 16 MOUNTAIN VIEW ROAD</t>
  </si>
  <si>
    <t>CORNER WILSON &amp; THOMAS STREET</t>
  </si>
  <si>
    <t>2 FAIRWAY DRIVE</t>
  </si>
  <si>
    <t>528 MAIN STREET</t>
  </si>
  <si>
    <t>882-888 SYDNEY ROAD</t>
  </si>
  <si>
    <t>917 NEPEAN HIGHWAY</t>
  </si>
  <si>
    <t>52 HAZELWOOD ROAD</t>
  </si>
  <si>
    <t>136 HELEN STREET</t>
  </si>
  <si>
    <t>CORNER VINCENT STREET &amp; PRINCES HIGHWAY</t>
  </si>
  <si>
    <t>52 ELGIN STREET</t>
  </si>
  <si>
    <t>38-56 HIGH STREET</t>
  </si>
  <si>
    <t>186 SPRINGVALE ROAD</t>
  </si>
  <si>
    <t>CNR JELLS AND WELLINGTON RD</t>
  </si>
  <si>
    <t>740 MT ALEXANDER ROAD</t>
  </si>
  <si>
    <t>CNR PRINCES HIGHWAY &amp; ATKINSON STREET</t>
  </si>
  <si>
    <t>252-254 MYRTLE STREET</t>
  </si>
  <si>
    <t>HIGH STREET</t>
  </si>
  <si>
    <t>329 New Street</t>
  </si>
  <si>
    <t>CNR MONASH &amp; COACH ROADS</t>
  </si>
  <si>
    <t>386 RACECOURSE ROAD</t>
  </si>
  <si>
    <t>Newport Social</t>
  </si>
  <si>
    <t>1 MASON STREET</t>
  </si>
  <si>
    <t>46 MOODEMERE STREET</t>
  </si>
  <si>
    <t>1128 HEATHERTON ROAD</t>
  </si>
  <si>
    <t>2-6 PRINCES HIGHWAY</t>
  </si>
  <si>
    <t>BALLARAT SHOWGROUNDS RESERVE, CRESWICK ROAD</t>
  </si>
  <si>
    <t>71 SYDNEY ROAD</t>
  </si>
  <si>
    <t>TUNNOCK ROAD</t>
  </si>
  <si>
    <t>1 PORTMAN STREET</t>
  </si>
  <si>
    <t>18 THE TERRACE</t>
  </si>
  <si>
    <t>459 LOWER HEIDELBERG ROAD</t>
  </si>
  <si>
    <t>161 MAIN STREET</t>
  </si>
  <si>
    <t>111 EVANS STREET</t>
  </si>
  <si>
    <t>Olive Tree Hotel( Closed )</t>
  </si>
  <si>
    <t>31 ALBERT STREET</t>
  </si>
  <si>
    <t>9 PICKERING STREET</t>
  </si>
  <si>
    <t>226 PRINCES HIGHWAY</t>
  </si>
  <si>
    <t>893 BURKE ROAD</t>
  </si>
  <si>
    <t>131 SCOTCHMER STREET</t>
  </si>
  <si>
    <t>40 CUMBERLAND ROAD</t>
  </si>
  <si>
    <t>12 RAILWAY PARADE</t>
  </si>
  <si>
    <t>1-3 NOEL STREET</t>
  </si>
  <si>
    <t>195 BELLARINE HIGHWAY</t>
  </si>
  <si>
    <t>7900 GOULBURN VALLEY HIGHWAY</t>
  </si>
  <si>
    <t>225-243 THOMPSON AVENUE</t>
  </si>
  <si>
    <t>59 MOORABOOL STREET</t>
  </si>
  <si>
    <t>508 NEPEAN HIGHWAY</t>
  </si>
  <si>
    <t>Wangarattta</t>
  </si>
  <si>
    <t>20 REID STREET</t>
  </si>
  <si>
    <t>1-5 SCOTT STREET</t>
  </si>
  <si>
    <t>186-200 LYGON STREET</t>
  </si>
  <si>
    <t>CHILDS ROAD</t>
  </si>
  <si>
    <t>46-48 FELLMONGERS ROAD</t>
  </si>
  <si>
    <t>130 HOOD ROAD</t>
  </si>
  <si>
    <t>HANLON PARK, HENTY STREET</t>
  </si>
  <si>
    <t>Portland Memorial Bowling Club</t>
  </si>
  <si>
    <t>33 CAPE NELSON ROAD</t>
  </si>
  <si>
    <t>202 BALLARAT ROAD</t>
  </si>
  <si>
    <t>1ST FLOOR, 328-338 CHAPEL STREET</t>
  </si>
  <si>
    <t>635 HIGH STREET</t>
  </si>
  <si>
    <t>CORNER POWER ROAD &amp; PRINCES HIGHWAY</t>
  </si>
  <si>
    <t>Pullman Melbourne On Swanston (Black Opal)</t>
  </si>
  <si>
    <t>195 SWANSTON STREET</t>
  </si>
  <si>
    <t>Queenscliff Bowling Tennis And Croquet Club</t>
  </si>
  <si>
    <t>118 HESSE STREET, QUEENSCLIFF VIC</t>
  </si>
  <si>
    <t>895 DANDENONG ROAD</t>
  </si>
  <si>
    <t>78 COTTRELL STREET</t>
  </si>
  <si>
    <t>CORNER WALSH ROAD AND PRINCES HIGHWAY</t>
  </si>
  <si>
    <t>28 STATION STREET</t>
  </si>
  <si>
    <t>11 HEYTESBURY AVENUE</t>
  </si>
  <si>
    <t>217-221 MAIN ROAD</t>
  </si>
  <si>
    <t>251 SPRING STREET</t>
  </si>
  <si>
    <t>121 VICTORIA STREET</t>
  </si>
  <si>
    <t>16 STATION STREET</t>
  </si>
  <si>
    <t>84 BARNARD STREET</t>
  </si>
  <si>
    <t>277 AUBURN ROAD</t>
  </si>
  <si>
    <t>30 NEPEAN HIGHWAY</t>
  </si>
  <si>
    <t>33 PEEL STREET NORTH</t>
  </si>
  <si>
    <t>4240 MURRAY VALLEY HIGHWAY</t>
  </si>
  <si>
    <t>709 PLENTY ROAD</t>
  </si>
  <si>
    <t>BONEO ROAD</t>
  </si>
  <si>
    <t>1099 POINT NEPEAN ROAD</t>
  </si>
  <si>
    <t>117 EASTBOURNE ROAD</t>
  </si>
  <si>
    <t>1084 DANDENONG ROAD</t>
  </si>
  <si>
    <t>CNR SOMERTON &amp; PASCOE VALE RDS</t>
  </si>
  <si>
    <t>64 PRINCES HIGHWAY</t>
  </si>
  <si>
    <t>2 BRIDGE STREET</t>
  </si>
  <si>
    <t>27 VINCENT STREET</t>
  </si>
  <si>
    <t>873 MT ALEXANDER ROAD</t>
  </si>
  <si>
    <t>63 EVANS STREET</t>
  </si>
  <si>
    <t>1375 NEPEAN HIGHWAY</t>
  </si>
  <si>
    <t>527 BRIDGE ROAD</t>
  </si>
  <si>
    <t>Murindindi</t>
  </si>
  <si>
    <t>1362 TAGGERTY-THORNTON ROAD</t>
  </si>
  <si>
    <t>2415 POINT NEPEAN ROAD</t>
  </si>
  <si>
    <t>Rye Hotel( Closed )</t>
  </si>
  <si>
    <t>5-11 NELSON STREET</t>
  </si>
  <si>
    <t>SALE-MAFFRA ROAD</t>
  </si>
  <si>
    <t>280-286 POINT COOK ROAD</t>
  </si>
  <si>
    <t>630-646 SOUTH ROAD</t>
  </si>
  <si>
    <t>CNR PRINCES HIGHWAY &amp; CORRIGAN ROAD</t>
  </si>
  <si>
    <t>118 BEACH ROAD</t>
  </si>
  <si>
    <t>71 HALL ROAD</t>
  </si>
  <si>
    <t>17 STATION STREET</t>
  </si>
  <si>
    <t>CNR SEAFORD &amp; FRANKSTON DANDENONG ROADS</t>
  </si>
  <si>
    <t>213-219 ALBERT STREET</t>
  </si>
  <si>
    <t>CNR ELIZABETH &amp; TALLAROOK STREETS</t>
  </si>
  <si>
    <t>CNR PALL MALL &amp; WILLIAMSON STREET</t>
  </si>
  <si>
    <t>242-244 LITTLE BOURKE STREET</t>
  </si>
  <si>
    <t>76 PURNELL ROAD</t>
  </si>
  <si>
    <t>455 WYNDHAM STREET</t>
  </si>
  <si>
    <t>88 WYNDHAM STREET</t>
  </si>
  <si>
    <t>109 WYNDHAM STREET</t>
  </si>
  <si>
    <t>13-21 WILLIAMSONS ROAD</t>
  </si>
  <si>
    <t>92 BURGUNDY STREET</t>
  </si>
  <si>
    <t>113 MATHEWS AVENUE</t>
  </si>
  <si>
    <t>84 STATION STREET</t>
  </si>
  <si>
    <t>2 THOMPSON ROAD</t>
  </si>
  <si>
    <t>233 YORK STREET</t>
  </si>
  <si>
    <t>Sportspark Gaming And Entertainment Centre</t>
  </si>
  <si>
    <t>CNR GREVILLEA ROAD &amp; DOWLING STREET</t>
  </si>
  <si>
    <t>23 OSBORNE AVENUE</t>
  </si>
  <si>
    <t>5 MCKECHNIE STREET</t>
  </si>
  <si>
    <t>KINGS PARK RESERVE, GILLESPIE ROAD</t>
  </si>
  <si>
    <t>LORD NELSON PARK, CHARLTON ROAD</t>
  </si>
  <si>
    <t>212 PAKINGTON STREET</t>
  </si>
  <si>
    <t>88 ACLAND STREET</t>
  </si>
  <si>
    <t>32 - 64 LINTON STREET</t>
  </si>
  <si>
    <t>CNR STUD &amp; WELLINGTON ROAD</t>
  </si>
  <si>
    <t>173 RAYMOND STREET</t>
  </si>
  <si>
    <t>91 GREAT ALPINE ROAD</t>
  </si>
  <si>
    <t>LAIDLAW PARK, PATRICK STREET</t>
  </si>
  <si>
    <t>CORNER MORNINGTON-TYABB &amp; RACECOURSE ROAD</t>
  </si>
  <si>
    <t>59 GRANT STREET</t>
  </si>
  <si>
    <t>2 GOURLAY ROAD</t>
  </si>
  <si>
    <t>SHOP 12, 830 PLENTY ROAD</t>
  </si>
  <si>
    <t>49 RIDDELL ROAD</t>
  </si>
  <si>
    <t>CLARKE OVAL, 47 RIDDELL ROAD</t>
  </si>
  <si>
    <t>LANGAMA PARK, MITCHELLS LANE</t>
  </si>
  <si>
    <t>24 TALMAGE STREET</t>
  </si>
  <si>
    <t>99 DICKSON STREET</t>
  </si>
  <si>
    <t>5 -17 MCCALLUM STREET</t>
  </si>
  <si>
    <t>138 CURLEWIS STREET</t>
  </si>
  <si>
    <t>1631 SYDNEY ROAD</t>
  </si>
  <si>
    <t>230 NICHOLSON STREET</t>
  </si>
  <si>
    <t>7 MELTON HIGHWAY</t>
  </si>
  <si>
    <t>23-29 PARKER STREET</t>
  </si>
  <si>
    <t>23-31 HARKER STREET</t>
  </si>
  <si>
    <t>316 BAY STREET</t>
  </si>
  <si>
    <t>22 PARK STREET</t>
  </si>
  <si>
    <t>2-4 HIGH STREET</t>
  </si>
  <si>
    <t>The Brass Monkey On Lonsdale</t>
  </si>
  <si>
    <t>388 LONSDALE STREET</t>
  </si>
  <si>
    <t>1 NEPEAN HIGHWAY</t>
  </si>
  <si>
    <t>215 SNEYDES ROAD</t>
  </si>
  <si>
    <t>203 SYDNEY ROAD</t>
  </si>
  <si>
    <t>414 HAWTHORN ROAD</t>
  </si>
  <si>
    <t>TENANCY 304 LEVEL 3, 270 CANTERBURY ROAD</t>
  </si>
  <si>
    <t>319 CLAYTON ROAD</t>
  </si>
  <si>
    <t>1312 - 1322 WESTERN HIGHWAY</t>
  </si>
  <si>
    <t>33-37 MAROONDAH HIGHWAY</t>
  </si>
  <si>
    <t>THE MARINA, MCLEOD ROAD</t>
  </si>
  <si>
    <t>The Cove Hotel( Closed )</t>
  </si>
  <si>
    <t>19 SANDHAM STREET</t>
  </si>
  <si>
    <t>366 HIGH STREET</t>
  </si>
  <si>
    <t>The Foundry Hotel Complex( Closed )</t>
  </si>
  <si>
    <t>471 MAROONDAH HIGHWAY</t>
  </si>
  <si>
    <t>38 CHURCH STREET</t>
  </si>
  <si>
    <t>622 MT ALEXANDER ROAD</t>
  </si>
  <si>
    <t>CNR GRETA ROAD &amp; MASON STREET</t>
  </si>
  <si>
    <t>67-69 GLADSTONE STREET</t>
  </si>
  <si>
    <t>40 WALLACE AVENUE</t>
  </si>
  <si>
    <t>13 MAY ROAD</t>
  </si>
  <si>
    <t>109 CHURCH STREET</t>
  </si>
  <si>
    <t>145 BAY STREET</t>
  </si>
  <si>
    <t>101 BENTINCK STREET</t>
  </si>
  <si>
    <t>157 SWAN STREET</t>
  </si>
  <si>
    <t>1208 BURWOOD HIGHWAY</t>
  </si>
  <si>
    <t>143 YORK STREET</t>
  </si>
  <si>
    <t>CNR SOUTH GIPPSLAND HIGHWAY &amp; CAMMS ROAD</t>
  </si>
  <si>
    <t>The Settlement At Cranbourne( Closed )</t>
  </si>
  <si>
    <t>70 OLD GEELONG ROAD</t>
  </si>
  <si>
    <t>2277 DANDENONG ROAD</t>
  </si>
  <si>
    <t>65-67 DOUGLAS PARADE</t>
  </si>
  <si>
    <t>322-340 COMMERCIAL ROAD</t>
  </si>
  <si>
    <t>RECREATION RESERVE, SOUTH GIPPSLAND HIGHWAY</t>
  </si>
  <si>
    <t>36 BELL STREET</t>
  </si>
  <si>
    <t>686 BURWOOD ROAD</t>
  </si>
  <si>
    <t>CNR GWALIA STREET &amp; LIDDIARD ROAD</t>
  </si>
  <si>
    <t>109-115 GREY STREET</t>
  </si>
  <si>
    <t>30 GRANT STREET</t>
  </si>
  <si>
    <t>1281 NEPEAN HIGHWAY</t>
  </si>
  <si>
    <t>110 MURRAY STREET</t>
  </si>
  <si>
    <t>119 SETTLEMENT ROAD</t>
  </si>
  <si>
    <t>120 FYANS STREET</t>
  </si>
  <si>
    <t>SHOP 122, WAVERLEY GARDENS SHOPPING CENTRE</t>
  </si>
  <si>
    <t>191 BULLEEN ROAD</t>
  </si>
  <si>
    <t>CNR WYNDHAM &amp; FRYERS STREETS</t>
  </si>
  <si>
    <t>22 AITKEN STREET</t>
  </si>
  <si>
    <t>202 BARKLY STREET</t>
  </si>
  <si>
    <t>CNR SPRINGVALE &amp; FERNTREE GULLY ROAD</t>
  </si>
  <si>
    <t>254 BRIDGE ROAD</t>
  </si>
  <si>
    <t>856 - 868 HEATHERTON ROAD</t>
  </si>
  <si>
    <t>4 VICTORIA PARADE</t>
  </si>
  <si>
    <t>2-4 TEMPLETON STREET</t>
  </si>
  <si>
    <t>350 STUD ROAD</t>
  </si>
  <si>
    <t>715 BORONIA ROAD</t>
  </si>
  <si>
    <t>55 VICTORIA STREET</t>
  </si>
  <si>
    <t>41 SUTTON STREET</t>
  </si>
  <si>
    <t>75 TIMOR STREET</t>
  </si>
  <si>
    <t>CRAMER STREET</t>
  </si>
  <si>
    <t>CORNER LIEBIG &amp; MERRI STREET</t>
  </si>
  <si>
    <t>431 KINGS ROAD</t>
  </si>
  <si>
    <t>Watergardens Hotel( Closed )</t>
  </si>
  <si>
    <t>252 MARIBYRNONG ROAD</t>
  </si>
  <si>
    <t>6 MORWELL AVENUE</t>
  </si>
  <si>
    <t>1154 PRINCES HIGHWAY</t>
  </si>
  <si>
    <t>CNR COLEMAN PDE &amp; GLENDALE STREET</t>
  </si>
  <si>
    <t>CNR DERRIMUT AND HEATH ROADS</t>
  </si>
  <si>
    <t>KELLY PARK, SYNOTT STREET</t>
  </si>
  <si>
    <t>180 BELL STREET</t>
  </si>
  <si>
    <t>BENNETT ROAD</t>
  </si>
  <si>
    <t>10-20 LAKE STREET</t>
  </si>
  <si>
    <t>47 MCINTYRE ROAD</t>
  </si>
  <si>
    <t>CORNER SALMON &amp; HIGH STREETS</t>
  </si>
  <si>
    <t>10 ARDLIE STREET</t>
  </si>
  <si>
    <t>3-5 FITZGERALD ROAD</t>
  </si>
  <si>
    <t>53 LIEBIG STREET</t>
  </si>
  <si>
    <t>Whalers Hotel( Closed )</t>
  </si>
  <si>
    <t>871-891 FERNTREE GULLY ROAD</t>
  </si>
  <si>
    <t>101 CHURCH STREET</t>
  </si>
  <si>
    <t>112 HIGH STREET</t>
  </si>
  <si>
    <t>MCKENZIE STREET</t>
  </si>
  <si>
    <t>16 MCBRIDE AVENUE</t>
  </si>
  <si>
    <t>75 GRAHAM STREET</t>
  </si>
  <si>
    <t>135 STEPHEN STREET</t>
  </si>
  <si>
    <t>CORNER BALLARAT &amp; ROSAMOND ROADS</t>
  </si>
  <si>
    <t>CNR FRANCIS &amp; HAWKHURST STREET</t>
  </si>
  <si>
    <t>CNR YORK &amp; SWANSEA ROADS</t>
  </si>
  <si>
    <t>25 DERBY ROAD</t>
  </si>
  <si>
    <t>Number of Attached Entitlements</t>
  </si>
  <si>
    <t>Number of Licenced EGMs</t>
  </si>
  <si>
    <t xml:space="preserve">1  From VGCCC, Gaming Expenditure by venue, featuring EGM numbers as at mid-2024 and venues as at June 2024. </t>
  </si>
  <si>
    <t>Note: venues which are closed are not counted among the venue totals given above. However, where a venue is now closed, but registered expenditure during 2023/24, that expenditure is counted here, and it is listed in the sheet 'Venue Data', resulting in a few small disparities between the number of venues listed in that venue level data, and those counted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</si>
</sst>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5">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s>
  <fills count="19">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indexed="64"/>
      </patternFill>
    </fill>
  </fills>
  <borders count="23">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thin">
        <color indexed="64"/>
      </top>
      <bottom style="hair">
        <color indexed="64"/>
      </bottom>
      <diagonal/>
    </border>
    <border>
      <left/>
      <right/>
      <top style="hair">
        <color auto="1"/>
      </top>
      <bottom style="hair">
        <color auto="1"/>
      </bottom>
      <diagonal/>
    </border>
    <border>
      <left/>
      <right/>
      <top style="hair">
        <color indexed="64"/>
      </top>
      <bottom style="hair">
        <color indexed="64"/>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6">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1" xfId="0" applyNumberFormat="1" applyFont="1" applyFill="1" applyBorder="1" applyAlignment="1" applyProtection="1">
      <alignment vertical="center"/>
      <protection hidden="1"/>
    </xf>
    <xf numFmtId="0" fontId="45" fillId="0" borderId="0" xfId="0" applyFont="1"/>
    <xf numFmtId="3" fontId="67" fillId="0" borderId="21"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vertic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0" fontId="9" fillId="18" borderId="5" xfId="0" applyFont="1" applyFill="1" applyBorder="1" applyAlignment="1" applyProtection="1">
      <alignment horizontal="center" vertical="center" wrapText="1"/>
      <protection hidden="1"/>
    </xf>
    <xf numFmtId="164" fontId="0" fillId="0" borderId="0" xfId="0" applyNumberFormat="1"/>
    <xf numFmtId="0" fontId="28" fillId="18" borderId="10" xfId="0" applyFont="1" applyFill="1" applyBorder="1" applyAlignment="1" applyProtection="1">
      <alignment horizontal="center" vertical="center"/>
      <protection hidden="1"/>
    </xf>
    <xf numFmtId="3" fontId="9" fillId="18" borderId="5" xfId="0" applyNumberFormat="1" applyFont="1" applyFill="1" applyBorder="1" applyAlignment="1" applyProtection="1">
      <alignment horizontal="center" vertical="center" wrapText="1"/>
      <protection hidden="1"/>
    </xf>
    <xf numFmtId="3" fontId="36" fillId="0" borderId="0" xfId="15" applyNumberFormat="1" applyFont="1" applyAlignment="1" applyProtection="1">
      <alignment horizontal="center"/>
      <protection hidden="1"/>
    </xf>
    <xf numFmtId="3" fontId="64" fillId="7" borderId="9" xfId="15" applyNumberFormat="1" applyFont="1" applyFill="1" applyBorder="1" applyAlignment="1" applyProtection="1">
      <alignment vertical="center"/>
      <protection hidden="1"/>
    </xf>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3" fontId="36" fillId="0" borderId="20" xfId="15" applyNumberFormat="1" applyFont="1" applyBorder="1" applyAlignment="1" applyProtection="1">
      <alignment horizontal="center"/>
      <protection hidden="1"/>
    </xf>
    <xf numFmtId="3" fontId="36" fillId="0" borderId="22" xfId="15" applyNumberFormat="1" applyFont="1" applyBorder="1" applyAlignment="1" applyProtection="1">
      <alignment horizontal="center"/>
      <protection hidden="1"/>
    </xf>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15713a72b5014725"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Maribyrnong </c:v>
                </c:pt>
                <c:pt idx="3">
                  <c:v>Moonee Valley </c:v>
                </c:pt>
                <c:pt idx="4">
                  <c:v>Mildura </c:v>
                </c:pt>
                <c:pt idx="5">
                  <c:v>Warrnambool </c:v>
                </c:pt>
                <c:pt idx="6">
                  <c:v>Greater Shepparton </c:v>
                </c:pt>
                <c:pt idx="7">
                  <c:v>Latrobe </c:v>
                </c:pt>
                <c:pt idx="8">
                  <c:v>East Gippsland </c:v>
                </c:pt>
                <c:pt idx="9">
                  <c:v>Central Goldfields</c:v>
                </c:pt>
                <c:pt idx="10">
                  <c:v>Whittlesea </c:v>
                </c:pt>
                <c:pt idx="11">
                  <c:v>Monash </c:v>
                </c:pt>
                <c:pt idx="12">
                  <c:v>Horsham </c:v>
                </c:pt>
                <c:pt idx="13">
                  <c:v>Wellington </c:v>
                </c:pt>
                <c:pt idx="14">
                  <c:v>Hume </c:v>
                </c:pt>
                <c:pt idx="15">
                  <c:v>Maroondah </c:v>
                </c:pt>
                <c:pt idx="16">
                  <c:v>Ballarat </c:v>
                </c:pt>
                <c:pt idx="17">
                  <c:v>Kingston </c:v>
                </c:pt>
                <c:pt idx="18">
                  <c:v>Darebin </c:v>
                </c:pt>
                <c:pt idx="19">
                  <c:v>Ararat </c:v>
                </c:pt>
                <c:pt idx="20">
                  <c:v>Mornington Peninsula </c:v>
                </c:pt>
                <c:pt idx="21">
                  <c:v>Hobsons Bay </c:v>
                </c:pt>
                <c:pt idx="22">
                  <c:v>Greater Bendigo </c:v>
                </c:pt>
                <c:pt idx="23">
                  <c:v>Greater Geelong </c:v>
                </c:pt>
                <c:pt idx="24">
                  <c:v>Knox </c:v>
                </c:pt>
                <c:pt idx="25">
                  <c:v>Melton </c:v>
                </c:pt>
                <c:pt idx="26">
                  <c:v>Bass Coast </c:v>
                </c:pt>
                <c:pt idx="27">
                  <c:v>Frankston </c:v>
                </c:pt>
                <c:pt idx="28">
                  <c:v>Swan Hill </c:v>
                </c:pt>
                <c:pt idx="29">
                  <c:v>Melbourne </c:v>
                </c:pt>
                <c:pt idx="30">
                  <c:v>Glen Eira </c:v>
                </c:pt>
                <c:pt idx="31">
                  <c:v>Banyule </c:v>
                </c:pt>
                <c:pt idx="32">
                  <c:v>Manningham </c:v>
                </c:pt>
                <c:pt idx="33">
                  <c:v>Casey </c:v>
                </c:pt>
                <c:pt idx="34">
                  <c:v>Mitchell </c:v>
                </c:pt>
                <c:pt idx="35">
                  <c:v>Benalla </c:v>
                </c:pt>
                <c:pt idx="36">
                  <c:v>Wyndham </c:v>
                </c:pt>
                <c:pt idx="37">
                  <c:v>Southern Grampians </c:v>
                </c:pt>
                <c:pt idx="38">
                  <c:v>Glenelg </c:v>
                </c:pt>
                <c:pt idx="39">
                  <c:v>Northern Grampians </c:v>
                </c:pt>
                <c:pt idx="40">
                  <c:v>Wangaratta </c:v>
                </c:pt>
                <c:pt idx="41">
                  <c:v>Baw Baw </c:v>
                </c:pt>
                <c:pt idx="42">
                  <c:v>Colac-Otway </c:v>
                </c:pt>
                <c:pt idx="43">
                  <c:v>Queenscliffe</c:v>
                </c:pt>
                <c:pt idx="44">
                  <c:v>Whitehorse </c:v>
                </c:pt>
                <c:pt idx="45">
                  <c:v>Moreland </c:v>
                </c:pt>
                <c:pt idx="46">
                  <c:v>Cardinia </c:v>
                </c:pt>
                <c:pt idx="47">
                  <c:v>Campaspe </c:v>
                </c:pt>
                <c:pt idx="48">
                  <c:v>Moorabool </c:v>
                </c:pt>
                <c:pt idx="49">
                  <c:v>Yarra </c:v>
                </c:pt>
                <c:pt idx="50">
                  <c:v>Wodonga </c:v>
                </c:pt>
                <c:pt idx="51">
                  <c:v>Port Phillip </c:v>
                </c:pt>
                <c:pt idx="52">
                  <c:v>Corangamite </c:v>
                </c:pt>
                <c:pt idx="53">
                  <c:v>South Gippsland </c:v>
                </c:pt>
                <c:pt idx="54">
                  <c:v>Gannawarra </c:v>
                </c:pt>
                <c:pt idx="55">
                  <c:v>Alpine </c:v>
                </c:pt>
                <c:pt idx="56">
                  <c:v>Moira </c:v>
                </c:pt>
                <c:pt idx="57">
                  <c:v>Hepburn </c:v>
                </c:pt>
                <c:pt idx="58">
                  <c:v>Yarra Ranges </c:v>
                </c:pt>
                <c:pt idx="59">
                  <c:v>Strathbogie </c:v>
                </c:pt>
                <c:pt idx="60">
                  <c:v>Macedon Ranges </c:v>
                </c:pt>
                <c:pt idx="61">
                  <c:v>Stonnington </c:v>
                </c:pt>
                <c:pt idx="62">
                  <c:v>Mansfield </c:v>
                </c:pt>
                <c:pt idx="63">
                  <c:v>Nillumbik </c:v>
                </c:pt>
                <c:pt idx="64">
                  <c:v>Mount Alexander </c:v>
                </c:pt>
                <c:pt idx="65">
                  <c:v>Bayside </c:v>
                </c:pt>
                <c:pt idx="66">
                  <c:v>Surf Coast </c:v>
                </c:pt>
                <c:pt idx="67">
                  <c:v>Boroondara </c:v>
                </c:pt>
                <c:pt idx="68">
                  <c:v>Murrindindi </c:v>
                </c:pt>
                <c:pt idx="69">
                  <c:v>Towong </c:v>
                </c:pt>
              </c:strCache>
            </c:strRef>
          </c:cat>
          <c:val>
            <c:numRef>
              <c:f>Comparison!$I$9:$I$78</c:f>
              <c:numCache>
                <c:formatCode>General</c:formatCode>
                <c:ptCount val="70"/>
                <c:pt idx="0">
                  <c:v>1128.1231923988937</c:v>
                </c:pt>
                <c:pt idx="1">
                  <c:v>1089.4819760455937</c:v>
                </c:pt>
                <c:pt idx="2">
                  <c:v>893.15000054843745</c:v>
                </c:pt>
                <c:pt idx="3">
                  <c:v>862.48858921942553</c:v>
                </c:pt>
                <c:pt idx="4">
                  <c:v>850.99804715290429</c:v>
                </c:pt>
                <c:pt idx="5">
                  <c:v>848.94816813236753</c:v>
                </c:pt>
                <c:pt idx="6">
                  <c:v>835.82617910688805</c:v>
                </c:pt>
                <c:pt idx="7">
                  <c:v>829.486901337718</c:v>
                </c:pt>
                <c:pt idx="8">
                  <c:v>783.09507389066493</c:v>
                </c:pt>
                <c:pt idx="9">
                  <c:v>775.99502542717391</c:v>
                </c:pt>
                <c:pt idx="10">
                  <c:v>771.27225712103791</c:v>
                </c:pt>
                <c:pt idx="11">
                  <c:v>769.60160222218656</c:v>
                </c:pt>
                <c:pt idx="12">
                  <c:v>766.06793532360416</c:v>
                </c:pt>
                <c:pt idx="13">
                  <c:v>735.82903818712737</c:v>
                </c:pt>
                <c:pt idx="14">
                  <c:v>722.95444512928759</c:v>
                </c:pt>
                <c:pt idx="15">
                  <c:v>718.55950124512663</c:v>
                </c:pt>
                <c:pt idx="16">
                  <c:v>716.91479163015401</c:v>
                </c:pt>
                <c:pt idx="17">
                  <c:v>685.1734410646643</c:v>
                </c:pt>
                <c:pt idx="18">
                  <c:v>679.10412642049073</c:v>
                </c:pt>
                <c:pt idx="19">
                  <c:v>675.04289378075441</c:v>
                </c:pt>
                <c:pt idx="20">
                  <c:v>670.6323008054278</c:v>
                </c:pt>
                <c:pt idx="21">
                  <c:v>657.43940358293946</c:v>
                </c:pt>
                <c:pt idx="22">
                  <c:v>629.61517766624809</c:v>
                </c:pt>
                <c:pt idx="23">
                  <c:v>624.76684722961204</c:v>
                </c:pt>
                <c:pt idx="24">
                  <c:v>614.16073846481186</c:v>
                </c:pt>
                <c:pt idx="25">
                  <c:v>613.94643976321311</c:v>
                </c:pt>
                <c:pt idx="26">
                  <c:v>610.82216686669062</c:v>
                </c:pt>
                <c:pt idx="27">
                  <c:v>605.43320229668416</c:v>
                </c:pt>
                <c:pt idx="28">
                  <c:v>605.21009075329277</c:v>
                </c:pt>
                <c:pt idx="29">
                  <c:v>599.127118343446</c:v>
                </c:pt>
                <c:pt idx="30">
                  <c:v>593.89727357556706</c:v>
                </c:pt>
                <c:pt idx="31">
                  <c:v>592.72719072461166</c:v>
                </c:pt>
                <c:pt idx="32">
                  <c:v>587.36666019112567</c:v>
                </c:pt>
                <c:pt idx="33">
                  <c:v>559.48029651764091</c:v>
                </c:pt>
                <c:pt idx="34">
                  <c:v>559.24153329397029</c:v>
                </c:pt>
                <c:pt idx="35">
                  <c:v>550.84208423645066</c:v>
                </c:pt>
                <c:pt idx="36">
                  <c:v>549.54504078250068</c:v>
                </c:pt>
                <c:pt idx="37">
                  <c:v>547.79642846143634</c:v>
                </c:pt>
                <c:pt idx="38">
                  <c:v>529.12909766176654</c:v>
                </c:pt>
                <c:pt idx="39">
                  <c:v>489.25228755641643</c:v>
                </c:pt>
                <c:pt idx="40">
                  <c:v>463.84781624950023</c:v>
                </c:pt>
                <c:pt idx="41">
                  <c:v>448.87307188239635</c:v>
                </c:pt>
                <c:pt idx="42">
                  <c:v>448.05797224091702</c:v>
                </c:pt>
                <c:pt idx="43">
                  <c:v>444.59051841368296</c:v>
                </c:pt>
                <c:pt idx="44">
                  <c:v>431.55166812886853</c:v>
                </c:pt>
                <c:pt idx="45">
                  <c:v>424.79001354554413</c:v>
                </c:pt>
                <c:pt idx="46">
                  <c:v>402.72534240004296</c:v>
                </c:pt>
                <c:pt idx="47">
                  <c:v>379.5191267692469</c:v>
                </c:pt>
                <c:pt idx="48">
                  <c:v>356.40809823944988</c:v>
                </c:pt>
                <c:pt idx="49">
                  <c:v>353.42833640731885</c:v>
                </c:pt>
                <c:pt idx="50">
                  <c:v>328.66931763397099</c:v>
                </c:pt>
                <c:pt idx="51">
                  <c:v>314.73883561019477</c:v>
                </c:pt>
                <c:pt idx="52">
                  <c:v>307.91185788330176</c:v>
                </c:pt>
                <c:pt idx="53">
                  <c:v>301.18282071445867</c:v>
                </c:pt>
                <c:pt idx="54">
                  <c:v>284.89905473953763</c:v>
                </c:pt>
                <c:pt idx="55">
                  <c:v>276.77883628254148</c:v>
                </c:pt>
                <c:pt idx="56">
                  <c:v>259.63643185499797</c:v>
                </c:pt>
                <c:pt idx="57">
                  <c:v>259.628503447387</c:v>
                </c:pt>
                <c:pt idx="58">
                  <c:v>253.78171811312833</c:v>
                </c:pt>
                <c:pt idx="59">
                  <c:v>253.50640723137212</c:v>
                </c:pt>
                <c:pt idx="60">
                  <c:v>245.57535709036395</c:v>
                </c:pt>
                <c:pt idx="61">
                  <c:v>213.05969471148532</c:v>
                </c:pt>
                <c:pt idx="62">
                  <c:v>203.05313709830568</c:v>
                </c:pt>
                <c:pt idx="63">
                  <c:v>195.66378335919177</c:v>
                </c:pt>
                <c:pt idx="64">
                  <c:v>192.55352569925486</c:v>
                </c:pt>
                <c:pt idx="65">
                  <c:v>157.53320580252355</c:v>
                </c:pt>
                <c:pt idx="66">
                  <c:v>150.4209000690303</c:v>
                </c:pt>
                <c:pt idx="67">
                  <c:v>140.11320062857408</c:v>
                </c:pt>
                <c:pt idx="68">
                  <c:v>129.45667546130323</c:v>
                </c:pt>
                <c:pt idx="69">
                  <c:v>89.333723584636076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6"/>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2024</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52387</xdr:rowOff>
    </xdr:from>
    <xdr:to>
      <xdr:col>9</xdr:col>
      <xdr:colOff>608012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355600</xdr:colOff>
          <xdr:row>4</xdr:row>
          <xdr:rowOff>69850</xdr:rowOff>
        </xdr:from>
        <xdr:to>
          <xdr:col>4</xdr:col>
          <xdr:colOff>520700</xdr:colOff>
          <xdr:row>6</xdr:row>
          <xdr:rowOff>12700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Normal="100" workbookViewId="0">
      <pane xSplit="11" ySplit="17" topLeftCell="L22" activePane="bottomRight" state="frozen"/>
      <selection pane="topRight" activeCell="L1" sqref="L1"/>
      <selection pane="bottomLeft" activeCell="A18" sqref="A18"/>
      <selection pane="bottomRight" activeCell="M7" sqref="M7"/>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597</v>
      </c>
      <c r="E2" s="73" t="s">
        <v>598</v>
      </c>
      <c r="F2" s="69"/>
      <c r="K2"/>
      <c r="L2"/>
      <c r="M2"/>
      <c r="N2" s="24"/>
    </row>
    <row r="3" spans="1:14" ht="13.5" customHeight="1">
      <c r="B3" s="184"/>
      <c r="C3" s="184"/>
      <c r="D3" s="184"/>
      <c r="G3" s="23"/>
      <c r="I3" s="23"/>
      <c r="J3" s="183" t="str">
        <f>CONCATENATE(A5,": number higher or lower than ",F5)</f>
        <v>Greater Dandenong : number higher or lower than Victoria</v>
      </c>
      <c r="K3" s="194" t="str">
        <f>CONCATENATE(A5,": per cent more or less than ",F5)</f>
        <v>Greater Dandenong : per cent more or less than Victoria</v>
      </c>
      <c r="M3" s="24"/>
      <c r="N3" s="24"/>
    </row>
    <row r="4" spans="1:14" ht="4.5" customHeight="1">
      <c r="B4" s="185"/>
      <c r="C4" s="185"/>
      <c r="D4" s="185"/>
      <c r="J4" s="183"/>
      <c r="K4" s="194"/>
    </row>
    <row r="5" spans="1:14" ht="9" customHeight="1">
      <c r="A5" s="191" t="str">
        <f>INDEX(Data!B5:B85,Indicators!B1)</f>
        <v xml:space="preserve">Greater Dandenong </v>
      </c>
      <c r="B5" s="191"/>
      <c r="C5" s="191"/>
      <c r="D5" s="191"/>
      <c r="F5" s="189" t="str">
        <f>INDEX(Data!B5:B85,Indicators!F1)</f>
        <v>Victoria</v>
      </c>
      <c r="G5" s="189"/>
      <c r="H5" s="189"/>
      <c r="J5" s="183"/>
      <c r="K5" s="194"/>
    </row>
    <row r="6" spans="1:14" ht="11.25" customHeight="1">
      <c r="A6" s="192"/>
      <c r="B6" s="192"/>
      <c r="C6" s="192"/>
      <c r="D6" s="192"/>
      <c r="F6" s="190"/>
      <c r="G6" s="190"/>
      <c r="H6" s="190"/>
      <c r="J6" s="183"/>
      <c r="K6" s="194"/>
    </row>
    <row r="7" spans="1:14" ht="17.25" customHeight="1">
      <c r="A7" s="100"/>
      <c r="B7" s="186" t="s">
        <v>0</v>
      </c>
      <c r="C7" s="186"/>
      <c r="D7" s="74" t="s">
        <v>1</v>
      </c>
      <c r="E7" s="69"/>
      <c r="F7" s="188" t="s">
        <v>0</v>
      </c>
      <c r="G7" s="188"/>
      <c r="H7" s="74" t="s">
        <v>1</v>
      </c>
      <c r="J7" s="183"/>
      <c r="K7" s="194"/>
    </row>
    <row r="8" spans="1:14" ht="22.5" customHeight="1">
      <c r="A8" s="9" t="s">
        <v>698</v>
      </c>
      <c r="B8" s="11">
        <f>VLOOKUP($B$1,Data!$A$5:$T$85,5)</f>
        <v>14</v>
      </c>
      <c r="C8" s="3"/>
      <c r="D8" s="26" t="s">
        <v>163</v>
      </c>
      <c r="F8" s="11">
        <f>VLOOKUP($F$1,Data!$A$5:$T$85,5)</f>
        <v>488</v>
      </c>
      <c r="G8" s="3"/>
      <c r="H8" s="26" t="s">
        <v>163</v>
      </c>
      <c r="J8" s="75" t="str">
        <f>IF(B8&gt;F8,CONCATENATE(B8-F8," more "),IF(F8&gt;B8,CONCATENATE(F8-B8," fewer "),"equal"))</f>
        <v xml:space="preserve">474 fewer </v>
      </c>
      <c r="K8" s="82" t="str">
        <f t="shared" ref="K8:K14" si="0">IF(B8&gt;F8,CONCATENATE(ROUNDUP((B8-F8)/F8*100,0),"% greater "),IF(F8&gt;B8,CONCATENATE(ROUNDUP((F8-B8)/F8*100,0),"% less "),"equal"))</f>
        <v xml:space="preserve">98% less </v>
      </c>
    </row>
    <row r="9" spans="1:14" ht="21.75" customHeight="1">
      <c r="A9" s="10" t="s">
        <v>715</v>
      </c>
      <c r="B9" s="27">
        <f>VLOOKUP($B$1,Data!$A$5:$T$85,6)</f>
        <v>928</v>
      </c>
      <c r="C9" s="2"/>
      <c r="D9" s="4">
        <f>VLOOKUP($B$1,Data!$A$5:$T$85,11)</f>
        <v>5</v>
      </c>
      <c r="E9" s="18"/>
      <c r="F9" s="27">
        <f>VLOOKUP($F$1,Data!$A$5:$T$85,6)</f>
        <v>26377</v>
      </c>
      <c r="G9" s="2"/>
      <c r="H9" s="4" t="str">
        <f>VLOOKUP($F$1,Data!$A$5:$T$85,11)</f>
        <v>*</v>
      </c>
      <c r="I9" s="18"/>
      <c r="J9" s="76" t="str">
        <f>IF(B9&gt;F9,CONCATENATE(B9-F9," more "),IF(F9&gt;B9,CONCATENATE(F9-B9," fewer "),"equal"))</f>
        <v xml:space="preserve">25449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716</v>
      </c>
      <c r="B11" s="55">
        <f>VLOOKUP($B$1,Data!$A$5:$T$85,13)</f>
        <v>7.3304526707526447</v>
      </c>
      <c r="C11" s="28"/>
      <c r="D11" s="29">
        <f>VLOOKUP($B$1,Data!$A$5:$T$85,14)</f>
        <v>17</v>
      </c>
      <c r="E11" s="18"/>
      <c r="F11" s="55">
        <f>VLOOKUP($F$1,Data!$A$5:$T$85,13)</f>
        <v>5.0609961349037755</v>
      </c>
      <c r="G11" s="28"/>
      <c r="H11" s="29" t="str">
        <f>VLOOKUP($F$1,Data!$A$5:$T$85,14)</f>
        <v>*</v>
      </c>
      <c r="I11" s="18"/>
      <c r="J11" s="78" t="str">
        <f>IF(B11&gt;F11,CONCATENATE(ROUNDUP(B11-F11,1)," more "),IF(F11&gt;B11,CONCATENATE(ROUNDUP(F11-B11,1)," fewer "),"equal"))</f>
        <v xml:space="preserve">2.3 more </v>
      </c>
      <c r="K11" s="85" t="str">
        <f t="shared" si="0"/>
        <v xml:space="preserve">45% greater </v>
      </c>
      <c r="L11" s="18"/>
    </row>
    <row r="12" spans="1:14" ht="21.75" customHeight="1" thickTop="1">
      <c r="A12" s="30" t="s">
        <v>717</v>
      </c>
      <c r="B12" s="102">
        <f>VLOOKUP($B$1,Data!$A$5:$T$85,8)</f>
        <v>137.92317052999999</v>
      </c>
      <c r="C12" s="56" t="s">
        <v>2</v>
      </c>
      <c r="D12" s="57">
        <f>VLOOKUP($B$1,Data!$A$5:$T$85,15)</f>
        <v>5</v>
      </c>
      <c r="E12" s="18"/>
      <c r="F12" s="102">
        <f>VLOOKUP($F$1,Data!$A$5:$T$85,8)</f>
        <v>3030.0262241400005</v>
      </c>
      <c r="G12" s="56" t="s">
        <v>2</v>
      </c>
      <c r="H12" s="57" t="str">
        <f>VLOOKUP($F$1,Data!$A$5:$T$85,15)</f>
        <v>*</v>
      </c>
      <c r="I12" s="18"/>
      <c r="J12" s="76" t="str">
        <f>IF(B12&gt;F12,CONCATENATE("$",ROUNDUP(B12-F12,1)," million higher "),IF(F12&gt;B12,CONCATENATE("$",ROUNDUP(F12-B12,1)," million lower "),"equal"))</f>
        <v xml:space="preserve">$2892.2 million lower </v>
      </c>
      <c r="K12" s="83" t="str">
        <f t="shared" si="0"/>
        <v xml:space="preserve">96% less </v>
      </c>
      <c r="L12" s="18"/>
    </row>
    <row r="13" spans="1:14" ht="21.75" customHeight="1">
      <c r="A13" s="66" t="s">
        <v>571</v>
      </c>
      <c r="B13" s="89">
        <f>B12*1000000/365</f>
        <v>377871.70008219179</v>
      </c>
      <c r="C13" s="67"/>
      <c r="D13" s="70" t="s">
        <v>570</v>
      </c>
      <c r="E13" s="18"/>
      <c r="F13" s="193">
        <f>F12*1000000/365</f>
        <v>8301441.7099726032</v>
      </c>
      <c r="G13" s="193"/>
      <c r="H13" s="70" t="s">
        <v>570</v>
      </c>
      <c r="I13" s="18"/>
      <c r="J13" s="79" t="str">
        <f>IF(B13&gt;F13,CONCATENATE("$",ROUNDUP(B13-F13,0)," higher "),IF(F13&gt;B13,CONCATENATE("$",ROUNDUP(F13-B13,0)," lower "),"equal"))</f>
        <v xml:space="preserve">$7923571 lower </v>
      </c>
      <c r="K13" s="86" t="str">
        <f t="shared" si="0"/>
        <v xml:space="preserve">96% less </v>
      </c>
      <c r="L13" s="18"/>
    </row>
    <row r="14" spans="1:14" ht="21.75" customHeight="1" thickBot="1">
      <c r="A14" s="103" t="s">
        <v>718</v>
      </c>
      <c r="B14" s="61">
        <f>VLOOKUP($B$1,Data!$A$5:$T$85,16)</f>
        <v>1089.4819760455937</v>
      </c>
      <c r="C14" s="58"/>
      <c r="D14" s="68">
        <f>VLOOKUP($B$1,Data!$A$5:$T$85,17)</f>
        <v>2</v>
      </c>
      <c r="E14" s="18"/>
      <c r="F14" s="61">
        <f>VLOOKUP($F$1,Data!$A$5:$T$85,16)</f>
        <v>581.37585809719167</v>
      </c>
      <c r="G14" s="58"/>
      <c r="H14" s="68" t="str">
        <f>VLOOKUP($F$1,Data!$A$5:$T$85,17)</f>
        <v>*</v>
      </c>
      <c r="I14" s="18"/>
      <c r="J14" s="104" t="str">
        <f>IF(B14&gt;F14,CONCATENATE("$",ROUNDUP(B14-F14,0)," higher "),IF(F14&gt;B14,CONCATENATE("$",ROUNDUP(F14-B14,0)," lower "),"equal"))</f>
        <v xml:space="preserve">$509 higher </v>
      </c>
      <c r="K14" s="105" t="str">
        <f t="shared" si="0"/>
        <v xml:space="preserve">88% greater </v>
      </c>
      <c r="L14" s="18"/>
    </row>
    <row r="15" spans="1:14" ht="8.25" customHeight="1" thickTop="1" thickBot="1">
      <c r="A15"/>
      <c r="B15"/>
      <c r="C15"/>
      <c r="D15"/>
      <c r="E15"/>
      <c r="F15"/>
      <c r="G15"/>
      <c r="H15"/>
      <c r="I15"/>
      <c r="J15"/>
      <c r="K15"/>
      <c r="L15" s="18"/>
    </row>
    <row r="16" spans="1:14" ht="21.75" customHeight="1" thickTop="1" thickBot="1">
      <c r="A16" s="30" t="s">
        <v>699</v>
      </c>
      <c r="B16" s="99">
        <f>VLOOKUP($B$1,Data!$A$5:$T$85,18)</f>
        <v>0.38232898606172633</v>
      </c>
      <c r="C16" s="31" t="s">
        <v>3</v>
      </c>
      <c r="D16" s="57">
        <f>VLOOKUP($B$1,Data!$A$5:$T$85,20)</f>
        <v>39</v>
      </c>
      <c r="E16" s="18"/>
      <c r="F16" s="99">
        <f>VLOOKUP($F$1,Data!$A$5:$T$85,18)</f>
        <v>0.27671350667963263</v>
      </c>
      <c r="G16" s="31" t="s">
        <v>3</v>
      </c>
      <c r="H16" s="57" t="str">
        <f>VLOOKUP($F$1,Data!$A$5:$T$85,20)</f>
        <v>*</v>
      </c>
      <c r="I16" s="18"/>
      <c r="J16" s="80" t="str">
        <f>IF(B16&gt;F16,CONCATENATE(ROUNDUP(B16-F16,1)," higher "),IF(F16&gt;B16,CONCATENATE(ROUNDUP(F16-B16,1)," lower "),"equal"))</f>
        <v xml:space="preserve">0.2 higher </v>
      </c>
      <c r="K16" s="87" t="str">
        <f>IF(B16&gt;F16,CONCATENATE(ROUNDUP((B16-F16)/F16*100,0),"% greater "),IF(F16&gt;B16,CONCATENATE(ROUNDUP((F16-B16)/F16*100,0),"% less "),"equal"))</f>
        <v xml:space="preserve">39% greater </v>
      </c>
      <c r="L16" s="18"/>
    </row>
    <row r="17" spans="1:13" ht="21.75" customHeight="1" thickTop="1">
      <c r="A17" s="10" t="s">
        <v>599</v>
      </c>
      <c r="B17" s="54">
        <f>VLOOKUP($B$1,Data!$A$5:$T$85,19)</f>
        <v>-3.5271692488716395</v>
      </c>
      <c r="C17" s="2" t="s">
        <v>3</v>
      </c>
      <c r="D17" s="71" t="s">
        <v>570</v>
      </c>
      <c r="E17" s="18"/>
      <c r="F17" s="54">
        <f>VLOOKUP($F$1,Data!$A$5:$T$85,19)</f>
        <v>-3.6286714193238034</v>
      </c>
      <c r="G17" s="2" t="s">
        <v>3</v>
      </c>
      <c r="H17" s="71" t="s">
        <v>570</v>
      </c>
      <c r="I17" s="18"/>
      <c r="J17" s="81" t="str">
        <f>IF(B17&gt;F17,CONCATENATE(ROUNDUP(B17-F17,1)," higher "),IF(F17&gt;B17,CONCATENATE(ROUNDUP(F17-B17,1)," lower "),"equal"))</f>
        <v xml:space="preserve">0.2 higher </v>
      </c>
      <c r="K17" s="88" t="str">
        <f>IF(B17&gt;F17,CONCATENATE(ROUNDUP((B17-F17)/F17*100,0),"% greater "),IF(F17&gt;B17,CONCATENATE(ROUNDUP((F17-B17)/F17*100,0),"% less "),"equal"))</f>
        <v xml:space="preserve">-3% greater </v>
      </c>
      <c r="L17" s="18"/>
    </row>
    <row r="18" spans="1:13" ht="12" customHeight="1">
      <c r="A18" s="182" t="s">
        <v>719</v>
      </c>
      <c r="B18" s="182"/>
      <c r="C18" s="182"/>
      <c r="D18" s="182"/>
      <c r="E18" s="182"/>
      <c r="F18" s="182"/>
      <c r="G18" s="182"/>
      <c r="H18" s="182"/>
      <c r="I18" s="182"/>
      <c r="J18" s="182"/>
      <c r="K18" s="182"/>
      <c r="L18" s="18"/>
    </row>
    <row r="19" spans="1:13" ht="7.15" customHeight="1">
      <c r="A19" s="182"/>
      <c r="B19" s="182"/>
      <c r="C19" s="182"/>
      <c r="D19" s="182"/>
      <c r="E19" s="182"/>
      <c r="F19" s="182"/>
      <c r="G19" s="182"/>
      <c r="H19" s="182"/>
      <c r="I19" s="182"/>
      <c r="J19" s="182"/>
      <c r="K19" s="182"/>
      <c r="L19" s="18"/>
    </row>
    <row r="20" spans="1:13" ht="13.5" customHeight="1">
      <c r="A20" s="187" t="s">
        <v>1245</v>
      </c>
      <c r="B20" s="187"/>
      <c r="C20" s="187"/>
      <c r="D20" s="187"/>
      <c r="E20" s="187"/>
      <c r="F20" s="187"/>
      <c r="G20" s="187"/>
      <c r="H20" s="187"/>
      <c r="I20" s="187"/>
      <c r="J20" s="187"/>
      <c r="K20" s="187"/>
    </row>
    <row r="21" spans="1:13" ht="13" customHeight="1">
      <c r="A21" s="187" t="s">
        <v>720</v>
      </c>
      <c r="B21" s="187"/>
      <c r="C21" s="187"/>
      <c r="D21" s="187"/>
      <c r="E21" s="187"/>
      <c r="F21" s="187"/>
      <c r="G21" s="187"/>
      <c r="H21" s="187"/>
      <c r="I21" s="187"/>
      <c r="J21" s="187"/>
      <c r="K21" s="187"/>
    </row>
    <row r="22" spans="1:13" ht="11.5" customHeight="1">
      <c r="A22" s="187" t="s">
        <v>721</v>
      </c>
      <c r="B22" s="187"/>
      <c r="C22" s="187"/>
      <c r="D22" s="187"/>
      <c r="E22" s="187"/>
      <c r="F22" s="187"/>
      <c r="G22" s="187"/>
      <c r="H22" s="187"/>
      <c r="I22" s="187"/>
      <c r="J22" s="187"/>
      <c r="K22" s="187"/>
      <c r="L22" s="25"/>
      <c r="M22" s="25"/>
    </row>
    <row r="23" spans="1:13" ht="12" customHeight="1">
      <c r="A23" s="181" t="s">
        <v>714</v>
      </c>
      <c r="B23" s="181"/>
      <c r="C23" s="181"/>
      <c r="D23" s="181"/>
      <c r="E23" s="181"/>
      <c r="F23" s="181"/>
      <c r="G23" s="181"/>
      <c r="H23" s="181"/>
      <c r="I23" s="181"/>
      <c r="J23" s="181"/>
      <c r="K23" s="181"/>
    </row>
    <row r="24" spans="1:13" ht="12" customHeight="1">
      <c r="A24" s="180" t="s">
        <v>1246</v>
      </c>
      <c r="B24" s="180"/>
      <c r="C24" s="180"/>
      <c r="D24" s="180"/>
      <c r="E24" s="180"/>
      <c r="F24" s="180"/>
      <c r="G24" s="180"/>
      <c r="H24" s="180"/>
      <c r="I24" s="180"/>
      <c r="J24" s="180"/>
      <c r="K24" s="180"/>
    </row>
    <row r="25" spans="1:13" ht="12" customHeight="1">
      <c r="A25" s="180"/>
      <c r="B25" s="180"/>
      <c r="C25" s="180"/>
      <c r="D25" s="180"/>
      <c r="E25" s="180"/>
      <c r="F25" s="180"/>
      <c r="G25" s="180"/>
      <c r="H25" s="180"/>
      <c r="I25" s="180"/>
      <c r="J25" s="180"/>
      <c r="K25" s="180"/>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workbookViewId="0">
      <pane xSplit="10" ySplit="8" topLeftCell="K9" activePane="bottomRight" state="frozen"/>
      <selection pane="topRight" activeCell="K1" sqref="K1"/>
      <selection pane="bottomLeft" activeCell="A9" sqref="A9"/>
      <selection pane="bottomRight" activeCell="P30" sqref="P30"/>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row>
    <row r="5" spans="1:22">
      <c r="D5" s="32"/>
      <c r="E5" s="32"/>
      <c r="F5" s="32"/>
      <c r="G5" s="32"/>
      <c r="H5" s="98"/>
      <c r="P5" s="59"/>
      <c r="Q5" s="59"/>
      <c r="R5" s="59"/>
    </row>
    <row r="6" spans="1:22" s="124" customFormat="1">
      <c r="A6" s="32"/>
      <c r="B6" s="32"/>
      <c r="C6" s="32"/>
      <c r="D6" s="146">
        <v>6</v>
      </c>
      <c r="E6" s="146">
        <f>INDEX(P6:P12,D6)</f>
        <v>16</v>
      </c>
      <c r="F6" s="32"/>
      <c r="G6" s="32"/>
      <c r="H6" s="98"/>
      <c r="I6" s="98"/>
      <c r="J6" s="32"/>
      <c r="K6" s="32"/>
      <c r="L6" s="32"/>
      <c r="M6" s="32"/>
      <c r="N6" s="32"/>
      <c r="O6" s="32"/>
      <c r="P6" s="152">
        <v>5</v>
      </c>
      <c r="Q6" s="152" t="s">
        <v>567</v>
      </c>
      <c r="R6" s="59"/>
      <c r="S6" s="32"/>
      <c r="T6" s="32"/>
      <c r="U6" s="32"/>
      <c r="V6" s="32"/>
    </row>
    <row r="7" spans="1:22" s="124" customFormat="1">
      <c r="A7" s="32"/>
      <c r="B7" s="32"/>
      <c r="C7" s="32"/>
      <c r="D7" s="32"/>
      <c r="E7" s="32"/>
      <c r="F7" s="32"/>
      <c r="G7" s="32"/>
      <c r="H7" s="98"/>
      <c r="I7" s="98"/>
      <c r="J7" s="32"/>
      <c r="K7" s="32"/>
      <c r="L7" s="32"/>
      <c r="M7" s="32"/>
      <c r="N7" s="32"/>
      <c r="O7" s="32"/>
      <c r="P7" s="152">
        <v>6</v>
      </c>
      <c r="Q7" s="152" t="s">
        <v>568</v>
      </c>
      <c r="R7" s="59"/>
      <c r="S7" s="32"/>
      <c r="T7" s="32"/>
      <c r="U7" s="32"/>
      <c r="V7" s="32"/>
    </row>
    <row r="8" spans="1:22" s="124" customFormat="1" ht="10.9" customHeight="1">
      <c r="A8" s="59"/>
      <c r="B8" s="59"/>
      <c r="C8" s="59"/>
      <c r="D8" s="59"/>
      <c r="E8" s="147" t="s">
        <v>553</v>
      </c>
      <c r="F8" s="147" t="s">
        <v>554</v>
      </c>
      <c r="G8" s="147" t="s">
        <v>555</v>
      </c>
      <c r="H8" s="148"/>
      <c r="I8" s="60"/>
      <c r="J8" s="59"/>
      <c r="K8" s="32"/>
      <c r="L8" s="32"/>
      <c r="M8" s="32"/>
      <c r="N8" s="32"/>
      <c r="O8" s="32"/>
      <c r="P8" s="152">
        <v>7</v>
      </c>
      <c r="Q8" s="152"/>
      <c r="R8" s="59"/>
      <c r="S8" s="32"/>
      <c r="T8" s="32"/>
      <c r="U8" s="32"/>
      <c r="V8" s="32"/>
    </row>
    <row r="9" spans="1:22" s="124" customFormat="1" ht="10.9" customHeight="1">
      <c r="A9" s="59"/>
      <c r="B9" s="149">
        <v>1</v>
      </c>
      <c r="C9" s="149">
        <v>1</v>
      </c>
      <c r="D9" s="150" t="s">
        <v>4</v>
      </c>
      <c r="E9" s="149">
        <f>VLOOKUP(B9,Data!$A$5:$T$85,$E$6)</f>
        <v>276.77883628254148</v>
      </c>
      <c r="F9" s="149">
        <f t="shared" ref="F9:F62" si="0">E9+0.00001*B9</f>
        <v>276.77884628254145</v>
      </c>
      <c r="G9" s="149">
        <f t="shared" ref="G9:G40" si="1">RANK(F9,F$9:F$78)</f>
        <v>56</v>
      </c>
      <c r="H9" s="151" t="str">
        <f t="shared" ref="H9:H40" si="2">VLOOKUP(MATCH(C9,G$9:G$78,0),$C$9:$G$78,2)</f>
        <v xml:space="preserve">Brimbank </v>
      </c>
      <c r="I9" s="151">
        <f t="shared" ref="I9:I40" si="3">VLOOKUP(MATCH(C9,G$9:G$78,0),$C$9:$G$78,3)</f>
        <v>1128.1231923988937</v>
      </c>
      <c r="J9" s="59"/>
      <c r="K9" s="32"/>
      <c r="L9" s="32"/>
      <c r="M9" s="32"/>
      <c r="N9" s="32"/>
      <c r="O9" s="32"/>
      <c r="P9" s="152">
        <v>8</v>
      </c>
      <c r="Q9" s="152" t="s">
        <v>703</v>
      </c>
      <c r="R9" s="59"/>
      <c r="S9" s="32"/>
      <c r="T9" s="32"/>
      <c r="U9" s="32"/>
      <c r="V9" s="32"/>
    </row>
    <row r="10" spans="1:22" s="124" customFormat="1" ht="10.9" customHeight="1">
      <c r="A10" s="59"/>
      <c r="B10" s="149">
        <v>2</v>
      </c>
      <c r="C10" s="149">
        <v>2</v>
      </c>
      <c r="D10" s="150" t="s">
        <v>5</v>
      </c>
      <c r="E10" s="149">
        <f>VLOOKUP(B10,Data!$A$5:$T$85,$E$6)</f>
        <v>675.04289378075441</v>
      </c>
      <c r="F10" s="149">
        <f t="shared" si="0"/>
        <v>675.04291378075436</v>
      </c>
      <c r="G10" s="149">
        <f t="shared" si="1"/>
        <v>20</v>
      </c>
      <c r="H10" s="151" t="str">
        <f t="shared" si="2"/>
        <v xml:space="preserve">Greater Dandenong </v>
      </c>
      <c r="I10" s="151">
        <f t="shared" si="3"/>
        <v>1089.4819760455937</v>
      </c>
      <c r="J10" s="59"/>
      <c r="K10" s="32"/>
      <c r="L10" s="166"/>
      <c r="M10" s="32"/>
      <c r="N10" s="32"/>
      <c r="O10" s="32"/>
      <c r="P10" s="152">
        <v>13</v>
      </c>
      <c r="Q10" s="152" t="s">
        <v>712</v>
      </c>
      <c r="R10" s="34"/>
      <c r="S10" s="32"/>
      <c r="T10" s="32"/>
      <c r="U10" s="32"/>
      <c r="V10" s="32"/>
    </row>
    <row r="11" spans="1:22" s="124" customFormat="1" ht="10.9" customHeight="1">
      <c r="A11" s="59"/>
      <c r="B11" s="149">
        <v>3</v>
      </c>
      <c r="C11" s="149">
        <v>3</v>
      </c>
      <c r="D11" s="150" t="s">
        <v>6</v>
      </c>
      <c r="E11" s="149">
        <f>VLOOKUP(B11,Data!$A$5:$T$85,$E$6)</f>
        <v>716.91479163015401</v>
      </c>
      <c r="F11" s="149">
        <f t="shared" si="0"/>
        <v>716.91482163015405</v>
      </c>
      <c r="G11" s="149">
        <f t="shared" si="1"/>
        <v>17</v>
      </c>
      <c r="H11" s="151" t="str">
        <f t="shared" si="2"/>
        <v xml:space="preserve">Maribyrnong </v>
      </c>
      <c r="I11" s="151">
        <f t="shared" si="3"/>
        <v>893.15000054843745</v>
      </c>
      <c r="J11" s="59"/>
      <c r="K11" s="32"/>
      <c r="L11" s="32"/>
      <c r="M11" s="32"/>
      <c r="N11" s="32"/>
      <c r="O11" s="32"/>
      <c r="P11" s="152">
        <v>16</v>
      </c>
      <c r="Q11" s="152" t="s">
        <v>705</v>
      </c>
      <c r="R11" s="59"/>
      <c r="S11" s="32"/>
      <c r="T11" s="32"/>
      <c r="U11" s="32"/>
      <c r="V11" s="32"/>
    </row>
    <row r="12" spans="1:22" s="124" customFormat="1" ht="10.9" customHeight="1">
      <c r="A12" s="59"/>
      <c r="B12" s="149">
        <v>4</v>
      </c>
      <c r="C12" s="149">
        <v>4</v>
      </c>
      <c r="D12" s="150" t="s">
        <v>7</v>
      </c>
      <c r="E12" s="149">
        <f>VLOOKUP(B12,Data!$A$5:$T$85,$E$6)</f>
        <v>592.72719072461166</v>
      </c>
      <c r="F12" s="149">
        <f t="shared" si="0"/>
        <v>592.72723072461167</v>
      </c>
      <c r="G12" s="149">
        <f t="shared" si="1"/>
        <v>32</v>
      </c>
      <c r="H12" s="151" t="str">
        <f t="shared" si="2"/>
        <v xml:space="preserve">Moonee Valley </v>
      </c>
      <c r="I12" s="151">
        <f t="shared" si="3"/>
        <v>862.48858921942553</v>
      </c>
      <c r="J12" s="59"/>
      <c r="K12" s="32"/>
      <c r="L12" s="32"/>
      <c r="M12" s="32"/>
      <c r="N12" s="32"/>
      <c r="O12" s="32"/>
      <c r="P12" s="152">
        <v>18</v>
      </c>
      <c r="Q12" s="152" t="s">
        <v>713</v>
      </c>
      <c r="R12" s="59"/>
      <c r="S12" s="32"/>
      <c r="T12" s="32"/>
      <c r="U12" s="32"/>
      <c r="V12" s="32"/>
    </row>
    <row r="13" spans="1:22" s="124" customFormat="1" ht="10.9" customHeight="1">
      <c r="A13" s="59"/>
      <c r="B13" s="149">
        <v>5</v>
      </c>
      <c r="C13" s="149">
        <v>5</v>
      </c>
      <c r="D13" s="150" t="s">
        <v>8</v>
      </c>
      <c r="E13" s="149">
        <f>VLOOKUP(B13,Data!$A$5:$T$85,$E$6)</f>
        <v>610.82216686669062</v>
      </c>
      <c r="F13" s="149">
        <f t="shared" si="0"/>
        <v>610.82221686669061</v>
      </c>
      <c r="G13" s="149">
        <f t="shared" si="1"/>
        <v>27</v>
      </c>
      <c r="H13" s="151" t="str">
        <f t="shared" si="2"/>
        <v xml:space="preserve">Mildura </v>
      </c>
      <c r="I13" s="151">
        <f t="shared" si="3"/>
        <v>850.99804715290429</v>
      </c>
      <c r="J13" s="59"/>
      <c r="K13" s="32"/>
      <c r="L13" s="32"/>
      <c r="M13" s="32"/>
      <c r="N13" s="32"/>
      <c r="O13" s="32"/>
      <c r="P13" s="34"/>
      <c r="Q13" s="34"/>
      <c r="R13" s="59"/>
      <c r="S13" s="32"/>
      <c r="T13" s="32"/>
      <c r="U13" s="32"/>
      <c r="V13" s="32"/>
    </row>
    <row r="14" spans="1:22" s="124" customFormat="1" ht="10.9" customHeight="1">
      <c r="A14" s="59"/>
      <c r="B14" s="149">
        <v>6</v>
      </c>
      <c r="C14" s="149">
        <v>6</v>
      </c>
      <c r="D14" s="150" t="s">
        <v>9</v>
      </c>
      <c r="E14" s="149">
        <f>VLOOKUP(B14,Data!$A$5:$T$85,$E$6)</f>
        <v>448.87307188239635</v>
      </c>
      <c r="F14" s="149">
        <f t="shared" si="0"/>
        <v>448.87313188239636</v>
      </c>
      <c r="G14" s="149">
        <f t="shared" si="1"/>
        <v>42</v>
      </c>
      <c r="H14" s="151" t="str">
        <f t="shared" si="2"/>
        <v xml:space="preserve">Warrnambool </v>
      </c>
      <c r="I14" s="151">
        <f t="shared" si="3"/>
        <v>848.94816813236753</v>
      </c>
      <c r="J14" s="59"/>
      <c r="K14" s="32"/>
      <c r="L14" s="32"/>
      <c r="M14" s="32"/>
      <c r="N14" s="32"/>
      <c r="O14" s="32"/>
      <c r="P14" s="165"/>
      <c r="Q14" s="165"/>
      <c r="R14" s="32"/>
      <c r="S14" s="32"/>
      <c r="T14" s="32"/>
      <c r="U14" s="32"/>
      <c r="V14" s="32"/>
    </row>
    <row r="15" spans="1:22" s="124" customFormat="1" ht="10.9" customHeight="1">
      <c r="A15" s="59"/>
      <c r="B15" s="149">
        <v>7</v>
      </c>
      <c r="C15" s="149">
        <v>7</v>
      </c>
      <c r="D15" s="150" t="s">
        <v>10</v>
      </c>
      <c r="E15" s="149">
        <f>VLOOKUP(B15,Data!$A$5:$T$85,$E$6)</f>
        <v>157.53320580252355</v>
      </c>
      <c r="F15" s="149">
        <f t="shared" si="0"/>
        <v>157.53327580252355</v>
      </c>
      <c r="G15" s="149">
        <f t="shared" si="1"/>
        <v>66</v>
      </c>
      <c r="H15" s="151" t="str">
        <f t="shared" si="2"/>
        <v xml:space="preserve">Greater Shepparton </v>
      </c>
      <c r="I15" s="151">
        <f t="shared" si="3"/>
        <v>835.82617910688805</v>
      </c>
      <c r="J15" s="59"/>
      <c r="K15" s="32"/>
      <c r="L15" s="32"/>
      <c r="M15" s="32"/>
      <c r="N15" s="32"/>
      <c r="O15" s="32"/>
      <c r="P15" s="32"/>
      <c r="Q15" s="32"/>
      <c r="R15" s="32"/>
      <c r="S15" s="32"/>
      <c r="T15" s="32"/>
      <c r="U15" s="32"/>
      <c r="V15" s="32"/>
    </row>
    <row r="16" spans="1:22" s="124" customFormat="1" ht="10.9" customHeight="1">
      <c r="A16" s="59"/>
      <c r="B16" s="149">
        <v>8</v>
      </c>
      <c r="C16" s="149">
        <v>8</v>
      </c>
      <c r="D16" s="150" t="s">
        <v>11</v>
      </c>
      <c r="E16" s="149">
        <f>VLOOKUP(B16,Data!$A$5:$T$85,$E$6)</f>
        <v>550.84208423645066</v>
      </c>
      <c r="F16" s="149">
        <f t="shared" si="0"/>
        <v>550.84216423645069</v>
      </c>
      <c r="G16" s="149">
        <f t="shared" si="1"/>
        <v>36</v>
      </c>
      <c r="H16" s="151" t="str">
        <f t="shared" si="2"/>
        <v xml:space="preserve">Latrobe </v>
      </c>
      <c r="I16" s="151">
        <f t="shared" si="3"/>
        <v>829.486901337718</v>
      </c>
      <c r="J16" s="59"/>
      <c r="K16" s="32"/>
      <c r="L16" s="32"/>
      <c r="M16" s="32"/>
      <c r="N16" s="32"/>
      <c r="O16" s="32"/>
      <c r="P16" s="32"/>
      <c r="Q16" s="32"/>
      <c r="R16" s="32"/>
      <c r="S16" s="32"/>
      <c r="T16" s="32"/>
      <c r="U16" s="32"/>
      <c r="V16" s="32"/>
    </row>
    <row r="17" spans="1:22" s="124" customFormat="1" ht="10.9" customHeight="1">
      <c r="A17" s="59"/>
      <c r="B17" s="149">
        <v>9</v>
      </c>
      <c r="C17" s="149">
        <v>9</v>
      </c>
      <c r="D17" s="150" t="s">
        <v>12</v>
      </c>
      <c r="E17" s="149">
        <f>VLOOKUP(B17,Data!$A$5:$T$85,$E$6)</f>
        <v>140.11320062857408</v>
      </c>
      <c r="F17" s="149">
        <f t="shared" si="0"/>
        <v>140.11329062857408</v>
      </c>
      <c r="G17" s="149">
        <f t="shared" si="1"/>
        <v>68</v>
      </c>
      <c r="H17" s="151" t="str">
        <f t="shared" si="2"/>
        <v xml:space="preserve">East Gippsland </v>
      </c>
      <c r="I17" s="151">
        <f t="shared" si="3"/>
        <v>783.09507389066493</v>
      </c>
      <c r="J17" s="59"/>
      <c r="K17" s="32"/>
      <c r="L17" s="32"/>
      <c r="M17" s="32"/>
      <c r="N17" s="32"/>
      <c r="O17" s="32"/>
      <c r="P17" s="32"/>
      <c r="Q17" s="32"/>
      <c r="R17" s="32"/>
      <c r="S17" s="32"/>
      <c r="T17" s="32"/>
      <c r="U17" s="32"/>
      <c r="V17" s="32"/>
    </row>
    <row r="18" spans="1:22" s="124" customFormat="1" ht="10.9" customHeight="1">
      <c r="A18" s="59"/>
      <c r="B18" s="149">
        <v>10</v>
      </c>
      <c r="C18" s="149">
        <v>10</v>
      </c>
      <c r="D18" s="150" t="s">
        <v>13</v>
      </c>
      <c r="E18" s="149">
        <f>VLOOKUP(B18,Data!$A$5:$T$85,$E$6)</f>
        <v>1128.1231923988937</v>
      </c>
      <c r="F18" s="149">
        <f t="shared" si="0"/>
        <v>1128.1232923988937</v>
      </c>
      <c r="G18" s="149">
        <f t="shared" si="1"/>
        <v>1</v>
      </c>
      <c r="H18" s="151" t="str">
        <f t="shared" si="2"/>
        <v>Central Goldfields</v>
      </c>
      <c r="I18" s="151">
        <f t="shared" si="3"/>
        <v>775.99502542717391</v>
      </c>
      <c r="J18" s="59"/>
      <c r="K18" s="32"/>
      <c r="L18" s="32"/>
      <c r="M18" s="32"/>
      <c r="N18" s="32"/>
      <c r="O18" s="32"/>
      <c r="P18" s="32"/>
      <c r="Q18" s="32"/>
      <c r="R18" s="32"/>
      <c r="S18" s="32"/>
      <c r="T18" s="32"/>
      <c r="U18" s="32"/>
      <c r="V18" s="32"/>
    </row>
    <row r="19" spans="1:22" s="124" customFormat="1" ht="10.9" customHeight="1">
      <c r="A19" s="59"/>
      <c r="B19" s="149">
        <v>12</v>
      </c>
      <c r="C19" s="149">
        <v>11</v>
      </c>
      <c r="D19" s="150" t="s">
        <v>15</v>
      </c>
      <c r="E19" s="149">
        <f>VLOOKUP(B19,Data!$A$5:$T$85,$E$6)</f>
        <v>379.5191267692469</v>
      </c>
      <c r="F19" s="149">
        <f t="shared" si="0"/>
        <v>379.51924676924688</v>
      </c>
      <c r="G19" s="149">
        <f t="shared" si="1"/>
        <v>48</v>
      </c>
      <c r="H19" s="151" t="str">
        <f t="shared" si="2"/>
        <v xml:space="preserve">Whittlesea </v>
      </c>
      <c r="I19" s="151">
        <f t="shared" si="3"/>
        <v>771.27225712103791</v>
      </c>
      <c r="J19" s="59"/>
      <c r="K19" s="32"/>
      <c r="L19" s="32"/>
      <c r="M19" s="32"/>
      <c r="N19" s="32"/>
      <c r="O19" s="32"/>
      <c r="P19" s="32"/>
      <c r="Q19" s="32"/>
      <c r="R19" s="32"/>
      <c r="S19" s="32"/>
      <c r="T19" s="32"/>
      <c r="U19" s="32"/>
      <c r="V19" s="32"/>
    </row>
    <row r="20" spans="1:22" s="124" customFormat="1" ht="10.9" customHeight="1">
      <c r="A20" s="59"/>
      <c r="B20" s="149">
        <v>13</v>
      </c>
      <c r="C20" s="149">
        <v>12</v>
      </c>
      <c r="D20" s="150" t="s">
        <v>16</v>
      </c>
      <c r="E20" s="149">
        <f>VLOOKUP(B20,Data!$A$5:$T$85,$E$6)</f>
        <v>402.72534240004296</v>
      </c>
      <c r="F20" s="149">
        <f t="shared" si="0"/>
        <v>402.72547240004297</v>
      </c>
      <c r="G20" s="149">
        <f t="shared" si="1"/>
        <v>47</v>
      </c>
      <c r="H20" s="151" t="str">
        <f t="shared" si="2"/>
        <v xml:space="preserve">Monash </v>
      </c>
      <c r="I20" s="151">
        <f t="shared" si="3"/>
        <v>769.60160222218656</v>
      </c>
      <c r="J20" s="59"/>
      <c r="K20" s="32"/>
      <c r="L20" s="32"/>
      <c r="M20" s="32"/>
      <c r="N20" s="32"/>
      <c r="O20" s="32"/>
      <c r="P20" s="32"/>
      <c r="Q20" s="32"/>
      <c r="R20" s="32"/>
      <c r="S20" s="32"/>
      <c r="T20" s="32"/>
      <c r="U20" s="32"/>
      <c r="V20" s="32"/>
    </row>
    <row r="21" spans="1:22" s="124" customFormat="1" ht="10.9" customHeight="1">
      <c r="A21" s="59"/>
      <c r="B21" s="149">
        <v>14</v>
      </c>
      <c r="C21" s="149">
        <v>13</v>
      </c>
      <c r="D21" s="150" t="s">
        <v>17</v>
      </c>
      <c r="E21" s="149">
        <f>VLOOKUP(B21,Data!$A$5:$T$85,$E$6)</f>
        <v>559.48029651764091</v>
      </c>
      <c r="F21" s="149">
        <f t="shared" si="0"/>
        <v>559.4804365176409</v>
      </c>
      <c r="G21" s="149">
        <f t="shared" si="1"/>
        <v>34</v>
      </c>
      <c r="H21" s="151" t="str">
        <f t="shared" si="2"/>
        <v xml:space="preserve">Horsham </v>
      </c>
      <c r="I21" s="151">
        <f t="shared" si="3"/>
        <v>766.06793532360416</v>
      </c>
      <c r="J21" s="59"/>
      <c r="K21" s="32"/>
      <c r="L21" s="32"/>
      <c r="M21" s="32"/>
      <c r="N21" s="32"/>
      <c r="O21" s="32"/>
      <c r="P21" s="32"/>
      <c r="Q21" s="32"/>
      <c r="R21" s="32"/>
      <c r="S21" s="32"/>
      <c r="T21" s="32"/>
      <c r="U21" s="32"/>
      <c r="V21" s="32"/>
    </row>
    <row r="22" spans="1:22" s="124" customFormat="1" ht="10.9" customHeight="1">
      <c r="A22" s="59"/>
      <c r="B22" s="149">
        <v>15</v>
      </c>
      <c r="C22" s="149">
        <v>14</v>
      </c>
      <c r="D22" s="150" t="s">
        <v>19</v>
      </c>
      <c r="E22" s="149">
        <f>VLOOKUP(B22,Data!$A$5:$T$85,$E$6)</f>
        <v>775.99502542717391</v>
      </c>
      <c r="F22" s="149">
        <f t="shared" si="0"/>
        <v>775.99517542717388</v>
      </c>
      <c r="G22" s="149">
        <f t="shared" si="1"/>
        <v>10</v>
      </c>
      <c r="H22" s="151" t="str">
        <f t="shared" si="2"/>
        <v xml:space="preserve">Wellington </v>
      </c>
      <c r="I22" s="151">
        <f t="shared" si="3"/>
        <v>735.82903818712737</v>
      </c>
      <c r="J22" s="59"/>
      <c r="K22" s="32"/>
      <c r="L22" s="32"/>
      <c r="M22" s="32"/>
      <c r="N22" s="32"/>
      <c r="O22" s="32"/>
      <c r="P22" s="32"/>
      <c r="Q22" s="32"/>
      <c r="R22" s="32"/>
      <c r="S22" s="32"/>
      <c r="T22" s="32"/>
      <c r="U22" s="32"/>
      <c r="V22" s="32"/>
    </row>
    <row r="23" spans="1:22" s="124" customFormat="1" ht="10.9" customHeight="1">
      <c r="A23" s="59"/>
      <c r="B23" s="149">
        <v>16</v>
      </c>
      <c r="C23" s="149">
        <v>15</v>
      </c>
      <c r="D23" s="150" t="s">
        <v>18</v>
      </c>
      <c r="E23" s="149">
        <f>VLOOKUP(B23,Data!$A$5:$T$85,$E$6)</f>
        <v>448.05797224091702</v>
      </c>
      <c r="F23" s="149">
        <f t="shared" si="0"/>
        <v>448.05813224091702</v>
      </c>
      <c r="G23" s="149">
        <f t="shared" si="1"/>
        <v>43</v>
      </c>
      <c r="H23" s="151" t="str">
        <f t="shared" si="2"/>
        <v xml:space="preserve">Hume </v>
      </c>
      <c r="I23" s="151">
        <f t="shared" si="3"/>
        <v>722.95444512928759</v>
      </c>
      <c r="J23" s="59"/>
      <c r="K23" s="32"/>
      <c r="L23" s="32"/>
      <c r="M23" s="32"/>
      <c r="N23" s="32"/>
      <c r="O23" s="32"/>
      <c r="P23" s="32"/>
      <c r="Q23" s="32"/>
      <c r="R23" s="32"/>
      <c r="S23" s="32"/>
      <c r="T23" s="32"/>
      <c r="U23" s="32"/>
      <c r="V23" s="32"/>
    </row>
    <row r="24" spans="1:22" s="124" customFormat="1" ht="10.9" customHeight="1">
      <c r="A24" s="59"/>
      <c r="B24" s="149">
        <v>17</v>
      </c>
      <c r="C24" s="149">
        <v>16</v>
      </c>
      <c r="D24" s="150" t="s">
        <v>34</v>
      </c>
      <c r="E24" s="149">
        <f>VLOOKUP(B24,Data!$A$5:$T$85,$E$6)</f>
        <v>307.91185788330176</v>
      </c>
      <c r="F24" s="149">
        <f t="shared" si="0"/>
        <v>307.91202788330179</v>
      </c>
      <c r="G24" s="149">
        <f t="shared" si="1"/>
        <v>53</v>
      </c>
      <c r="H24" s="151" t="str">
        <f t="shared" si="2"/>
        <v xml:space="preserve">Maroondah </v>
      </c>
      <c r="I24" s="151">
        <f t="shared" si="3"/>
        <v>718.55950124512663</v>
      </c>
      <c r="J24" s="59"/>
      <c r="K24" s="32"/>
      <c r="L24" s="32"/>
      <c r="M24" s="32"/>
      <c r="N24" s="32"/>
      <c r="O24" s="32"/>
      <c r="P24" s="32"/>
      <c r="Q24" s="32"/>
      <c r="R24" s="32"/>
      <c r="S24" s="32"/>
      <c r="T24" s="32"/>
      <c r="U24" s="32"/>
      <c r="V24" s="32"/>
    </row>
    <row r="25" spans="1:22" s="124" customFormat="1" ht="10.9" customHeight="1">
      <c r="A25" s="59"/>
      <c r="B25" s="149">
        <v>18</v>
      </c>
      <c r="C25" s="149">
        <v>17</v>
      </c>
      <c r="D25" s="150" t="s">
        <v>35</v>
      </c>
      <c r="E25" s="149">
        <f>VLOOKUP(B25,Data!$A$5:$T$85,$E$6)</f>
        <v>679.10412642049073</v>
      </c>
      <c r="F25" s="149">
        <f t="shared" si="0"/>
        <v>679.10430642049073</v>
      </c>
      <c r="G25" s="149">
        <f t="shared" si="1"/>
        <v>19</v>
      </c>
      <c r="H25" s="151" t="str">
        <f t="shared" si="2"/>
        <v xml:space="preserve">Ballarat </v>
      </c>
      <c r="I25" s="151">
        <f t="shared" si="3"/>
        <v>716.91479163015401</v>
      </c>
      <c r="J25" s="59"/>
      <c r="K25" s="32"/>
      <c r="L25" s="32"/>
      <c r="M25" s="32"/>
      <c r="N25" s="32"/>
      <c r="O25" s="32"/>
      <c r="P25" s="32"/>
      <c r="Q25" s="32"/>
      <c r="R25" s="32"/>
      <c r="S25" s="32"/>
      <c r="T25" s="32"/>
      <c r="U25" s="32"/>
      <c r="V25" s="32"/>
    </row>
    <row r="26" spans="1:22" s="124" customFormat="1" ht="10.9" customHeight="1">
      <c r="A26" s="59"/>
      <c r="B26" s="149">
        <v>19</v>
      </c>
      <c r="C26" s="149">
        <v>18</v>
      </c>
      <c r="D26" s="150" t="s">
        <v>36</v>
      </c>
      <c r="E26" s="149">
        <f>VLOOKUP(B26,Data!$A$5:$T$85,$E$6)</f>
        <v>783.09507389066493</v>
      </c>
      <c r="F26" s="149">
        <f t="shared" si="0"/>
        <v>783.09526389066491</v>
      </c>
      <c r="G26" s="149">
        <f t="shared" si="1"/>
        <v>9</v>
      </c>
      <c r="H26" s="151" t="str">
        <f t="shared" si="2"/>
        <v xml:space="preserve">Kingston </v>
      </c>
      <c r="I26" s="151">
        <f t="shared" si="3"/>
        <v>685.1734410646643</v>
      </c>
      <c r="J26" s="59"/>
      <c r="K26" s="32"/>
      <c r="L26" s="32"/>
      <c r="M26" s="32"/>
      <c r="N26" s="32"/>
      <c r="O26" s="32"/>
      <c r="P26" s="32"/>
      <c r="Q26" s="32"/>
      <c r="R26" s="32"/>
      <c r="S26" s="32"/>
      <c r="T26" s="32"/>
      <c r="U26" s="32"/>
      <c r="V26" s="32"/>
    </row>
    <row r="27" spans="1:22" s="124" customFormat="1" ht="10.9" customHeight="1">
      <c r="A27" s="59"/>
      <c r="B27" s="149">
        <v>20</v>
      </c>
      <c r="C27" s="149">
        <v>19</v>
      </c>
      <c r="D27" s="150" t="s">
        <v>37</v>
      </c>
      <c r="E27" s="149">
        <f>VLOOKUP(B27,Data!$A$5:$T$85,$E$6)</f>
        <v>605.43320229668416</v>
      </c>
      <c r="F27" s="149">
        <f t="shared" si="0"/>
        <v>605.43340229668411</v>
      </c>
      <c r="G27" s="149">
        <f t="shared" si="1"/>
        <v>28</v>
      </c>
      <c r="H27" s="151" t="str">
        <f t="shared" si="2"/>
        <v xml:space="preserve">Darebin </v>
      </c>
      <c r="I27" s="151">
        <f t="shared" si="3"/>
        <v>679.10412642049073</v>
      </c>
      <c r="J27" s="59"/>
      <c r="K27" s="32"/>
      <c r="L27" s="32"/>
      <c r="M27" s="32"/>
      <c r="N27" s="32"/>
      <c r="O27" s="32"/>
      <c r="P27" s="32"/>
      <c r="Q27" s="32"/>
      <c r="R27" s="32"/>
      <c r="S27" s="32"/>
      <c r="T27" s="32"/>
      <c r="U27" s="32"/>
      <c r="V27" s="32"/>
    </row>
    <row r="28" spans="1:22" s="124" customFormat="1" ht="10.9" customHeight="1">
      <c r="A28" s="59"/>
      <c r="B28" s="149">
        <v>21</v>
      </c>
      <c r="C28" s="149">
        <v>20</v>
      </c>
      <c r="D28" s="150" t="s">
        <v>38</v>
      </c>
      <c r="E28" s="149">
        <f>VLOOKUP(B28,Data!$A$5:$T$85,$E$6)</f>
        <v>284.89905473953763</v>
      </c>
      <c r="F28" s="149">
        <f t="shared" si="0"/>
        <v>284.89926473953761</v>
      </c>
      <c r="G28" s="149">
        <f t="shared" si="1"/>
        <v>55</v>
      </c>
      <c r="H28" s="151" t="str">
        <f t="shared" si="2"/>
        <v xml:space="preserve">Ararat </v>
      </c>
      <c r="I28" s="151">
        <f t="shared" si="3"/>
        <v>675.04289378075441</v>
      </c>
      <c r="J28" s="59"/>
      <c r="K28" s="32"/>
      <c r="L28" s="32"/>
      <c r="M28" s="32"/>
      <c r="N28" s="32"/>
      <c r="O28" s="32"/>
      <c r="P28" s="32"/>
      <c r="Q28" s="32"/>
      <c r="R28" s="32"/>
      <c r="S28" s="32"/>
      <c r="T28" s="32"/>
      <c r="U28" s="32"/>
      <c r="V28" s="32"/>
    </row>
    <row r="29" spans="1:22" s="124" customFormat="1" ht="10.9" customHeight="1">
      <c r="A29" s="59"/>
      <c r="B29" s="149">
        <v>22</v>
      </c>
      <c r="C29" s="149">
        <v>21</v>
      </c>
      <c r="D29" s="150" t="s">
        <v>39</v>
      </c>
      <c r="E29" s="149">
        <f>VLOOKUP(B29,Data!$A$5:$T$85,$E$6)</f>
        <v>593.89727357556706</v>
      </c>
      <c r="F29" s="149">
        <f t="shared" si="0"/>
        <v>593.89749357556707</v>
      </c>
      <c r="G29" s="149">
        <f t="shared" si="1"/>
        <v>31</v>
      </c>
      <c r="H29" s="151" t="str">
        <f t="shared" si="2"/>
        <v xml:space="preserve">Mornington Peninsula </v>
      </c>
      <c r="I29" s="151">
        <f t="shared" si="3"/>
        <v>670.6323008054278</v>
      </c>
      <c r="J29" s="59"/>
      <c r="K29" s="32"/>
      <c r="L29" s="32"/>
      <c r="M29" s="32"/>
      <c r="N29" s="32"/>
      <c r="O29" s="32"/>
      <c r="P29" s="32"/>
      <c r="Q29" s="32"/>
      <c r="R29" s="32"/>
      <c r="S29" s="32"/>
      <c r="T29" s="32"/>
      <c r="U29" s="32"/>
      <c r="V29" s="32"/>
    </row>
    <row r="30" spans="1:22" s="124" customFormat="1" ht="10.9" customHeight="1">
      <c r="A30" s="59"/>
      <c r="B30" s="149">
        <v>23</v>
      </c>
      <c r="C30" s="149">
        <v>22</v>
      </c>
      <c r="D30" s="150" t="s">
        <v>40</v>
      </c>
      <c r="E30" s="149">
        <f>VLOOKUP(B30,Data!$A$5:$T$85,$E$6)</f>
        <v>529.12909766176654</v>
      </c>
      <c r="F30" s="149">
        <f t="shared" si="0"/>
        <v>529.12932766176652</v>
      </c>
      <c r="G30" s="149">
        <f t="shared" si="1"/>
        <v>39</v>
      </c>
      <c r="H30" s="151" t="str">
        <f t="shared" si="2"/>
        <v xml:space="preserve">Hobsons Bay </v>
      </c>
      <c r="I30" s="151">
        <f t="shared" si="3"/>
        <v>657.43940358293946</v>
      </c>
      <c r="J30" s="59"/>
      <c r="K30" s="32"/>
      <c r="L30" s="32"/>
      <c r="M30" s="32"/>
      <c r="N30" s="32"/>
      <c r="O30" s="32"/>
      <c r="P30" s="32"/>
      <c r="Q30" s="32"/>
      <c r="R30" s="32"/>
      <c r="S30" s="32"/>
      <c r="T30" s="32"/>
      <c r="U30" s="32"/>
      <c r="V30" s="32"/>
    </row>
    <row r="31" spans="1:22" s="124" customFormat="1" ht="10.9" customHeight="1">
      <c r="A31" s="59"/>
      <c r="B31" s="149">
        <v>25</v>
      </c>
      <c r="C31" s="149">
        <v>23</v>
      </c>
      <c r="D31" s="150" t="s">
        <v>42</v>
      </c>
      <c r="E31" s="149">
        <f>VLOOKUP(B31,Data!$A$5:$T$85,$E$6)</f>
        <v>629.61517766624809</v>
      </c>
      <c r="F31" s="149">
        <f t="shared" si="0"/>
        <v>629.61542766624814</v>
      </c>
      <c r="G31" s="149">
        <f t="shared" si="1"/>
        <v>23</v>
      </c>
      <c r="H31" s="151" t="str">
        <f t="shared" si="2"/>
        <v xml:space="preserve">Greater Bendigo </v>
      </c>
      <c r="I31" s="151">
        <f t="shared" si="3"/>
        <v>629.61517766624809</v>
      </c>
      <c r="J31" s="59"/>
      <c r="K31" s="32"/>
      <c r="L31" s="32"/>
      <c r="M31" s="32"/>
      <c r="N31" s="32"/>
      <c r="O31" s="32"/>
      <c r="P31" s="32"/>
      <c r="Q31" s="32"/>
      <c r="R31" s="32"/>
      <c r="S31" s="32"/>
      <c r="T31" s="32"/>
      <c r="U31" s="32"/>
      <c r="V31" s="32"/>
    </row>
    <row r="32" spans="1:22" s="124" customFormat="1" ht="10.9" customHeight="1">
      <c r="A32" s="59"/>
      <c r="B32" s="149">
        <v>26</v>
      </c>
      <c r="C32" s="149">
        <v>24</v>
      </c>
      <c r="D32" s="150" t="s">
        <v>43</v>
      </c>
      <c r="E32" s="149">
        <f>VLOOKUP(B32,Data!$A$5:$T$85,$E$6)</f>
        <v>1089.4819760455937</v>
      </c>
      <c r="F32" s="149">
        <f t="shared" si="0"/>
        <v>1089.4822360455937</v>
      </c>
      <c r="G32" s="149">
        <f t="shared" si="1"/>
        <v>2</v>
      </c>
      <c r="H32" s="151" t="str">
        <f t="shared" si="2"/>
        <v xml:space="preserve">Greater Geelong </v>
      </c>
      <c r="I32" s="151">
        <f t="shared" si="3"/>
        <v>624.76684722961204</v>
      </c>
      <c r="J32" s="59"/>
      <c r="K32" s="32"/>
      <c r="L32" s="32"/>
      <c r="M32" s="32"/>
      <c r="N32" s="32"/>
      <c r="O32" s="32"/>
      <c r="P32" s="32"/>
      <c r="Q32" s="32"/>
      <c r="R32" s="32"/>
      <c r="S32" s="32"/>
      <c r="T32" s="32"/>
      <c r="U32" s="32"/>
      <c r="V32" s="32"/>
    </row>
    <row r="33" spans="1:22" s="124" customFormat="1" ht="10.9" customHeight="1">
      <c r="A33" s="59"/>
      <c r="B33" s="149">
        <v>27</v>
      </c>
      <c r="C33" s="149">
        <v>25</v>
      </c>
      <c r="D33" s="150" t="s">
        <v>44</v>
      </c>
      <c r="E33" s="149">
        <f>VLOOKUP(B33,Data!$A$5:$T$85,$E$6)</f>
        <v>624.76684722961204</v>
      </c>
      <c r="F33" s="149">
        <f t="shared" si="0"/>
        <v>624.76711722961204</v>
      </c>
      <c r="G33" s="149">
        <f t="shared" si="1"/>
        <v>24</v>
      </c>
      <c r="H33" s="151" t="str">
        <f t="shared" si="2"/>
        <v xml:space="preserve">Knox </v>
      </c>
      <c r="I33" s="151">
        <f t="shared" si="3"/>
        <v>614.16073846481186</v>
      </c>
      <c r="J33" s="59"/>
      <c r="K33" s="32"/>
      <c r="L33" s="32"/>
      <c r="M33" s="32"/>
      <c r="N33" s="32"/>
      <c r="O33" s="32"/>
      <c r="P33" s="32"/>
      <c r="Q33" s="32"/>
      <c r="R33" s="32"/>
      <c r="S33" s="32"/>
      <c r="T33" s="32"/>
      <c r="U33" s="32"/>
      <c r="V33" s="32"/>
    </row>
    <row r="34" spans="1:22" s="124" customFormat="1" ht="10.9" customHeight="1">
      <c r="A34" s="59"/>
      <c r="B34" s="149">
        <v>28</v>
      </c>
      <c r="C34" s="149">
        <v>26</v>
      </c>
      <c r="D34" s="150" t="s">
        <v>45</v>
      </c>
      <c r="E34" s="149">
        <f>VLOOKUP(B34,Data!$A$5:$T$85,$E$6)</f>
        <v>835.82617910688805</v>
      </c>
      <c r="F34" s="149">
        <f t="shared" si="0"/>
        <v>835.82645910688802</v>
      </c>
      <c r="G34" s="149">
        <f t="shared" si="1"/>
        <v>7</v>
      </c>
      <c r="H34" s="151" t="str">
        <f t="shared" si="2"/>
        <v xml:space="preserve">Melton </v>
      </c>
      <c r="I34" s="151">
        <f t="shared" si="3"/>
        <v>613.94643976321311</v>
      </c>
      <c r="J34" s="59"/>
      <c r="K34" s="32"/>
      <c r="L34" s="32"/>
      <c r="M34" s="32"/>
      <c r="N34" s="32"/>
      <c r="O34" s="32"/>
      <c r="P34" s="32"/>
      <c r="Q34" s="32"/>
      <c r="R34" s="32"/>
      <c r="S34" s="32"/>
      <c r="T34" s="32"/>
      <c r="U34" s="32"/>
      <c r="V34" s="32"/>
    </row>
    <row r="35" spans="1:22" s="124" customFormat="1" ht="10.9" customHeight="1">
      <c r="A35" s="59"/>
      <c r="B35" s="149">
        <v>29</v>
      </c>
      <c r="C35" s="149">
        <v>27</v>
      </c>
      <c r="D35" s="150" t="s">
        <v>46</v>
      </c>
      <c r="E35" s="149">
        <f>VLOOKUP(B35,Data!$A$5:$T$85,$E$6)</f>
        <v>259.628503447387</v>
      </c>
      <c r="F35" s="149">
        <f t="shared" si="0"/>
        <v>259.62879344738701</v>
      </c>
      <c r="G35" s="149">
        <f t="shared" si="1"/>
        <v>58</v>
      </c>
      <c r="H35" s="151" t="str">
        <f t="shared" si="2"/>
        <v xml:space="preserve">Bass Coast </v>
      </c>
      <c r="I35" s="151">
        <f t="shared" si="3"/>
        <v>610.82216686669062</v>
      </c>
      <c r="J35" s="59"/>
      <c r="K35" s="32"/>
      <c r="L35" s="32"/>
      <c r="M35" s="32"/>
      <c r="N35" s="32"/>
      <c r="O35" s="32"/>
      <c r="P35" s="32"/>
      <c r="Q35" s="32"/>
      <c r="R35" s="32"/>
      <c r="S35" s="32"/>
      <c r="T35" s="32"/>
      <c r="U35" s="32"/>
      <c r="V35" s="32"/>
    </row>
    <row r="36" spans="1:22" s="124" customFormat="1" ht="10.9" customHeight="1">
      <c r="A36" s="59"/>
      <c r="B36" s="149">
        <v>31</v>
      </c>
      <c r="C36" s="149">
        <v>28</v>
      </c>
      <c r="D36" s="150" t="s">
        <v>48</v>
      </c>
      <c r="E36" s="149">
        <f>VLOOKUP(B36,Data!$A$5:$T$85,$E$6)</f>
        <v>657.43940358293946</v>
      </c>
      <c r="F36" s="149">
        <f t="shared" si="0"/>
        <v>657.43971358293948</v>
      </c>
      <c r="G36" s="149">
        <f t="shared" si="1"/>
        <v>22</v>
      </c>
      <c r="H36" s="151" t="str">
        <f t="shared" si="2"/>
        <v xml:space="preserve">Frankston </v>
      </c>
      <c r="I36" s="151">
        <f t="shared" si="3"/>
        <v>605.43320229668416</v>
      </c>
      <c r="J36" s="59"/>
      <c r="K36" s="32"/>
      <c r="L36" s="32"/>
      <c r="M36" s="32"/>
      <c r="N36" s="32"/>
      <c r="O36" s="32"/>
      <c r="P36" s="32"/>
      <c r="Q36" s="32"/>
      <c r="R36" s="32"/>
      <c r="S36" s="32"/>
      <c r="T36" s="32"/>
      <c r="U36" s="32"/>
      <c r="V36" s="32"/>
    </row>
    <row r="37" spans="1:22" s="124" customFormat="1" ht="10.9" customHeight="1">
      <c r="A37" s="59"/>
      <c r="B37" s="149">
        <v>32</v>
      </c>
      <c r="C37" s="149">
        <v>29</v>
      </c>
      <c r="D37" s="150" t="s">
        <v>49</v>
      </c>
      <c r="E37" s="149">
        <f>VLOOKUP(B37,Data!$A$5:$T$85,$E$6)</f>
        <v>766.06793532360416</v>
      </c>
      <c r="F37" s="149">
        <f t="shared" si="0"/>
        <v>766.06825532360415</v>
      </c>
      <c r="G37" s="149">
        <f t="shared" si="1"/>
        <v>13</v>
      </c>
      <c r="H37" s="151" t="str">
        <f t="shared" si="2"/>
        <v xml:space="preserve">Swan Hill </v>
      </c>
      <c r="I37" s="151">
        <f t="shared" si="3"/>
        <v>605.21009075329277</v>
      </c>
      <c r="J37" s="59"/>
      <c r="K37" s="32"/>
      <c r="L37" s="32"/>
      <c r="M37" s="32"/>
      <c r="N37" s="32"/>
      <c r="O37" s="32"/>
      <c r="P37" s="32"/>
      <c r="Q37" s="32"/>
      <c r="R37" s="32"/>
      <c r="S37" s="32"/>
      <c r="T37" s="32"/>
      <c r="U37" s="32"/>
      <c r="V37" s="32"/>
    </row>
    <row r="38" spans="1:22" s="124" customFormat="1" ht="10.9" customHeight="1">
      <c r="A38" s="59"/>
      <c r="B38" s="149">
        <v>33</v>
      </c>
      <c r="C38" s="149">
        <v>30</v>
      </c>
      <c r="D38" s="150" t="s">
        <v>50</v>
      </c>
      <c r="E38" s="149">
        <f>VLOOKUP(B38,Data!$A$5:$T$85,$E$6)</f>
        <v>722.95444512928759</v>
      </c>
      <c r="F38" s="149">
        <f t="shared" si="0"/>
        <v>722.95477512928755</v>
      </c>
      <c r="G38" s="149">
        <f t="shared" si="1"/>
        <v>15</v>
      </c>
      <c r="H38" s="151" t="str">
        <f t="shared" si="2"/>
        <v xml:space="preserve">Melbourne </v>
      </c>
      <c r="I38" s="151">
        <f t="shared" si="3"/>
        <v>599.127118343446</v>
      </c>
      <c r="J38" s="59"/>
      <c r="K38" s="32"/>
      <c r="L38" s="32"/>
      <c r="M38" s="32"/>
      <c r="N38" s="32"/>
      <c r="O38" s="32"/>
      <c r="P38" s="32"/>
      <c r="Q38" s="32"/>
      <c r="R38" s="32"/>
      <c r="S38" s="32"/>
      <c r="T38" s="32"/>
      <c r="U38" s="32"/>
      <c r="V38" s="32"/>
    </row>
    <row r="39" spans="1:22" s="124" customFormat="1" ht="10.9" customHeight="1">
      <c r="A39" s="59"/>
      <c r="B39" s="149">
        <v>35</v>
      </c>
      <c r="C39" s="149">
        <v>31</v>
      </c>
      <c r="D39" s="150" t="s">
        <v>52</v>
      </c>
      <c r="E39" s="149">
        <f>VLOOKUP(B39,Data!$A$5:$T$85,$E$6)</f>
        <v>685.1734410646643</v>
      </c>
      <c r="F39" s="149">
        <f t="shared" si="0"/>
        <v>685.17379106466433</v>
      </c>
      <c r="G39" s="149">
        <f t="shared" si="1"/>
        <v>18</v>
      </c>
      <c r="H39" s="151" t="str">
        <f t="shared" si="2"/>
        <v xml:space="preserve">Glen Eira </v>
      </c>
      <c r="I39" s="151">
        <f t="shared" si="3"/>
        <v>593.89727357556706</v>
      </c>
      <c r="J39" s="59"/>
      <c r="K39" s="32"/>
      <c r="L39" s="32"/>
      <c r="M39" s="32"/>
      <c r="N39" s="32"/>
      <c r="O39" s="32"/>
      <c r="P39" s="32"/>
      <c r="Q39" s="32"/>
      <c r="R39" s="32"/>
      <c r="S39" s="32"/>
      <c r="T39" s="32"/>
      <c r="U39" s="32"/>
      <c r="V39" s="32"/>
    </row>
    <row r="40" spans="1:22" s="124" customFormat="1" ht="10.9" customHeight="1">
      <c r="A40" s="59"/>
      <c r="B40" s="149">
        <v>36</v>
      </c>
      <c r="C40" s="149">
        <v>32</v>
      </c>
      <c r="D40" s="150" t="s">
        <v>53</v>
      </c>
      <c r="E40" s="149">
        <f>VLOOKUP(B40,Data!$A$5:$T$85,$E$6)</f>
        <v>614.16073846481186</v>
      </c>
      <c r="F40" s="149">
        <f t="shared" si="0"/>
        <v>614.16109846481186</v>
      </c>
      <c r="G40" s="149">
        <f t="shared" si="1"/>
        <v>25</v>
      </c>
      <c r="H40" s="151" t="str">
        <f t="shared" si="2"/>
        <v xml:space="preserve">Banyule </v>
      </c>
      <c r="I40" s="151">
        <f t="shared" si="3"/>
        <v>592.72719072461166</v>
      </c>
      <c r="J40" s="59"/>
      <c r="K40" s="32"/>
      <c r="L40" s="32"/>
      <c r="M40" s="32"/>
      <c r="N40" s="32"/>
      <c r="O40" s="32"/>
      <c r="P40" s="32"/>
      <c r="Q40" s="32"/>
      <c r="R40" s="32"/>
      <c r="S40" s="32"/>
      <c r="T40" s="32"/>
      <c r="U40" s="32"/>
      <c r="V40" s="32"/>
    </row>
    <row r="41" spans="1:22" s="124" customFormat="1" ht="10.9" customHeight="1">
      <c r="A41" s="59"/>
      <c r="B41" s="149">
        <v>37</v>
      </c>
      <c r="C41" s="149">
        <v>33</v>
      </c>
      <c r="D41" s="150" t="s">
        <v>54</v>
      </c>
      <c r="E41" s="149">
        <f>VLOOKUP(B41,Data!$A$5:$T$85,$E$6)</f>
        <v>829.486901337718</v>
      </c>
      <c r="F41" s="149">
        <f t="shared" si="0"/>
        <v>829.48727133771797</v>
      </c>
      <c r="G41" s="149">
        <f t="shared" ref="G41:G72" si="4">RANK(F41,F$9:F$78)</f>
        <v>8</v>
      </c>
      <c r="H41" s="151" t="str">
        <f t="shared" ref="H41:H72" si="5">VLOOKUP(MATCH(C41,G$9:G$78,0),$C$9:$G$78,2)</f>
        <v xml:space="preserve">Manningham </v>
      </c>
      <c r="I41" s="151">
        <f t="shared" ref="I41:I72" si="6">VLOOKUP(MATCH(C41,G$9:G$78,0),$C$9:$G$78,3)</f>
        <v>587.36666019112567</v>
      </c>
      <c r="J41" s="59"/>
      <c r="K41" s="32"/>
      <c r="L41" s="32"/>
      <c r="M41" s="32"/>
      <c r="N41" s="32"/>
      <c r="O41" s="32"/>
      <c r="P41" s="32"/>
      <c r="Q41" s="32"/>
      <c r="R41" s="32"/>
      <c r="S41" s="32"/>
      <c r="T41" s="32"/>
      <c r="U41" s="32"/>
      <c r="V41" s="32"/>
    </row>
    <row r="42" spans="1:22" s="124" customFormat="1" ht="10.9" customHeight="1">
      <c r="A42" s="59"/>
      <c r="B42" s="149">
        <v>39</v>
      </c>
      <c r="C42" s="149">
        <v>34</v>
      </c>
      <c r="D42" s="150" t="s">
        <v>56</v>
      </c>
      <c r="E42" s="149">
        <f>VLOOKUP(B42,Data!$A$5:$T$85,$E$6)</f>
        <v>245.57535709036395</v>
      </c>
      <c r="F42" s="149">
        <f t="shared" si="0"/>
        <v>245.57574709036396</v>
      </c>
      <c r="G42" s="149">
        <f t="shared" si="4"/>
        <v>61</v>
      </c>
      <c r="H42" s="151" t="str">
        <f t="shared" si="5"/>
        <v xml:space="preserve">Casey </v>
      </c>
      <c r="I42" s="151">
        <f t="shared" si="6"/>
        <v>559.48029651764091</v>
      </c>
      <c r="J42" s="59"/>
      <c r="K42" s="32"/>
      <c r="L42" s="32"/>
      <c r="M42" s="32"/>
      <c r="N42" s="32"/>
      <c r="O42" s="32"/>
      <c r="P42" s="32"/>
      <c r="Q42" s="32"/>
      <c r="R42" s="32"/>
      <c r="S42" s="32"/>
      <c r="T42" s="32"/>
      <c r="U42" s="32"/>
      <c r="V42" s="32"/>
    </row>
    <row r="43" spans="1:22" s="124" customFormat="1" ht="10.9" customHeight="1">
      <c r="A43" s="59"/>
      <c r="B43" s="149">
        <v>40</v>
      </c>
      <c r="C43" s="149">
        <v>35</v>
      </c>
      <c r="D43" s="150" t="s">
        <v>57</v>
      </c>
      <c r="E43" s="149">
        <f>VLOOKUP(B43,Data!$A$5:$T$85,$E$6)</f>
        <v>587.36666019112567</v>
      </c>
      <c r="F43" s="149">
        <f t="shared" si="0"/>
        <v>587.36706019112569</v>
      </c>
      <c r="G43" s="149">
        <f t="shared" si="4"/>
        <v>33</v>
      </c>
      <c r="H43" s="151" t="str">
        <f t="shared" si="5"/>
        <v xml:space="preserve">Mitchell </v>
      </c>
      <c r="I43" s="151">
        <f t="shared" si="6"/>
        <v>559.24153329397029</v>
      </c>
      <c r="J43" s="59"/>
      <c r="K43" s="32"/>
      <c r="L43" s="32"/>
      <c r="M43" s="32"/>
      <c r="N43" s="32"/>
      <c r="O43" s="32"/>
      <c r="P43" s="32"/>
      <c r="Q43" s="32"/>
      <c r="R43" s="32"/>
      <c r="S43" s="32"/>
      <c r="T43" s="32"/>
      <c r="U43" s="32"/>
      <c r="V43" s="32"/>
    </row>
    <row r="44" spans="1:22" s="124" customFormat="1" ht="10.9" customHeight="1">
      <c r="A44" s="59"/>
      <c r="B44" s="149">
        <v>41</v>
      </c>
      <c r="C44" s="149">
        <v>36</v>
      </c>
      <c r="D44" s="150" t="s">
        <v>58</v>
      </c>
      <c r="E44" s="149">
        <f>VLOOKUP(B44,Data!$A$5:$T$85,$E$6)</f>
        <v>203.05313709830568</v>
      </c>
      <c r="F44" s="149">
        <f t="shared" si="0"/>
        <v>203.05354709830567</v>
      </c>
      <c r="G44" s="149">
        <f t="shared" si="4"/>
        <v>63</v>
      </c>
      <c r="H44" s="151" t="str">
        <f t="shared" si="5"/>
        <v xml:space="preserve">Benalla </v>
      </c>
      <c r="I44" s="151">
        <f t="shared" si="6"/>
        <v>550.84208423645066</v>
      </c>
      <c r="J44" s="59"/>
      <c r="K44" s="32"/>
      <c r="L44" s="32"/>
      <c r="M44" s="32"/>
      <c r="N44" s="32"/>
      <c r="O44" s="32"/>
      <c r="P44" s="32"/>
      <c r="Q44" s="32"/>
      <c r="R44" s="32"/>
      <c r="S44" s="32"/>
      <c r="T44" s="32"/>
      <c r="U44" s="32"/>
      <c r="V44" s="32"/>
    </row>
    <row r="45" spans="1:22" s="124" customFormat="1" ht="10.9" customHeight="1">
      <c r="A45" s="59"/>
      <c r="B45" s="149">
        <v>42</v>
      </c>
      <c r="C45" s="149">
        <v>37</v>
      </c>
      <c r="D45" s="150" t="s">
        <v>59</v>
      </c>
      <c r="E45" s="149">
        <f>VLOOKUP(B45,Data!$A$5:$T$85,$E$6)</f>
        <v>893.15000054843745</v>
      </c>
      <c r="F45" s="149">
        <f t="shared" si="0"/>
        <v>893.15042054843741</v>
      </c>
      <c r="G45" s="149">
        <f t="shared" si="4"/>
        <v>3</v>
      </c>
      <c r="H45" s="151" t="str">
        <f t="shared" si="5"/>
        <v xml:space="preserve">Wyndham </v>
      </c>
      <c r="I45" s="151">
        <f t="shared" si="6"/>
        <v>549.54504078250068</v>
      </c>
      <c r="J45" s="59"/>
      <c r="K45" s="32"/>
      <c r="L45" s="32"/>
      <c r="M45" s="32"/>
      <c r="N45" s="32"/>
      <c r="O45" s="32"/>
      <c r="P45" s="32"/>
      <c r="Q45" s="32"/>
      <c r="R45" s="32"/>
      <c r="S45" s="32"/>
      <c r="T45" s="32"/>
      <c r="U45" s="32"/>
      <c r="V45" s="32"/>
    </row>
    <row r="46" spans="1:22" s="124" customFormat="1" ht="10.9" customHeight="1">
      <c r="A46" s="59"/>
      <c r="B46" s="149">
        <v>43</v>
      </c>
      <c r="C46" s="149">
        <v>38</v>
      </c>
      <c r="D46" s="150" t="s">
        <v>60</v>
      </c>
      <c r="E46" s="149">
        <f>VLOOKUP(B46,Data!$A$5:$T$85,$E$6)</f>
        <v>718.55950124512663</v>
      </c>
      <c r="F46" s="149">
        <f t="shared" si="0"/>
        <v>718.55993124512668</v>
      </c>
      <c r="G46" s="149">
        <f t="shared" si="4"/>
        <v>16</v>
      </c>
      <c r="H46" s="151" t="str">
        <f t="shared" si="5"/>
        <v xml:space="preserve">Southern Grampians </v>
      </c>
      <c r="I46" s="151">
        <f t="shared" si="6"/>
        <v>547.79642846143634</v>
      </c>
      <c r="J46" s="59"/>
      <c r="K46" s="32"/>
      <c r="L46" s="32"/>
      <c r="M46" s="32"/>
      <c r="N46" s="32"/>
      <c r="O46" s="32"/>
      <c r="P46" s="32"/>
      <c r="Q46" s="32"/>
      <c r="R46" s="32"/>
      <c r="S46" s="32"/>
      <c r="T46" s="32"/>
      <c r="U46" s="32"/>
      <c r="V46" s="32"/>
    </row>
    <row r="47" spans="1:22" s="124" customFormat="1" ht="10.9" customHeight="1">
      <c r="A47" s="59"/>
      <c r="B47" s="149">
        <v>44</v>
      </c>
      <c r="C47" s="149">
        <v>39</v>
      </c>
      <c r="D47" s="150" t="s">
        <v>61</v>
      </c>
      <c r="E47" s="149">
        <f>VLOOKUP(B47,Data!$A$5:$T$85,$E$6)</f>
        <v>599.127118343446</v>
      </c>
      <c r="F47" s="149">
        <f t="shared" si="0"/>
        <v>599.12755834344603</v>
      </c>
      <c r="G47" s="149">
        <f t="shared" si="4"/>
        <v>30</v>
      </c>
      <c r="H47" s="151" t="str">
        <f t="shared" si="5"/>
        <v xml:space="preserve">Glenelg </v>
      </c>
      <c r="I47" s="151">
        <f t="shared" si="6"/>
        <v>529.12909766176654</v>
      </c>
      <c r="J47" s="59"/>
      <c r="K47" s="32"/>
      <c r="L47" s="32"/>
      <c r="M47" s="32"/>
      <c r="N47" s="32"/>
      <c r="O47" s="32"/>
      <c r="P47" s="32"/>
      <c r="Q47" s="32"/>
      <c r="R47" s="32"/>
      <c r="S47" s="32"/>
      <c r="T47" s="32"/>
      <c r="U47" s="32"/>
      <c r="V47" s="32"/>
    </row>
    <row r="48" spans="1:22" s="124" customFormat="1" ht="10.9" customHeight="1">
      <c r="A48" s="59"/>
      <c r="B48" s="149">
        <v>45</v>
      </c>
      <c r="C48" s="149">
        <v>40</v>
      </c>
      <c r="D48" s="150" t="s">
        <v>62</v>
      </c>
      <c r="E48" s="149">
        <f>VLOOKUP(B48,Data!$A$5:$T$85,$E$6)</f>
        <v>613.94643976321311</v>
      </c>
      <c r="F48" s="149">
        <f t="shared" si="0"/>
        <v>613.94688976321311</v>
      </c>
      <c r="G48" s="149">
        <f t="shared" si="4"/>
        <v>26</v>
      </c>
      <c r="H48" s="151" t="str">
        <f t="shared" si="5"/>
        <v xml:space="preserve">Northern Grampians </v>
      </c>
      <c r="I48" s="151">
        <f t="shared" si="6"/>
        <v>489.25228755641643</v>
      </c>
      <c r="J48" s="59"/>
      <c r="K48" s="32"/>
      <c r="L48" s="32"/>
      <c r="M48" s="32"/>
      <c r="N48" s="32"/>
      <c r="O48" s="32"/>
      <c r="P48" s="32"/>
      <c r="Q48" s="32"/>
      <c r="R48" s="32"/>
      <c r="S48" s="32"/>
      <c r="T48" s="32"/>
      <c r="U48" s="32"/>
      <c r="V48" s="32"/>
    </row>
    <row r="49" spans="1:22" s="124" customFormat="1" ht="10.9" customHeight="1">
      <c r="A49" s="59"/>
      <c r="B49" s="149">
        <v>46</v>
      </c>
      <c r="C49" s="149">
        <v>41</v>
      </c>
      <c r="D49" s="150" t="s">
        <v>63</v>
      </c>
      <c r="E49" s="149">
        <f>VLOOKUP(B49,Data!$A$5:$T$85,$E$6)</f>
        <v>850.99804715290429</v>
      </c>
      <c r="F49" s="149">
        <f t="shared" si="0"/>
        <v>850.99850715290427</v>
      </c>
      <c r="G49" s="149">
        <f t="shared" si="4"/>
        <v>5</v>
      </c>
      <c r="H49" s="151" t="str">
        <f t="shared" si="5"/>
        <v xml:space="preserve">Wangaratta </v>
      </c>
      <c r="I49" s="151">
        <f t="shared" si="6"/>
        <v>463.84781624950023</v>
      </c>
      <c r="J49" s="59"/>
      <c r="K49" s="32"/>
      <c r="L49" s="32"/>
      <c r="M49" s="32"/>
      <c r="N49" s="32"/>
      <c r="O49" s="32"/>
      <c r="P49" s="32"/>
      <c r="Q49" s="32"/>
      <c r="R49" s="32"/>
      <c r="S49" s="32"/>
      <c r="T49" s="32"/>
      <c r="U49" s="32"/>
      <c r="V49" s="32"/>
    </row>
    <row r="50" spans="1:22" s="124" customFormat="1" ht="10.9" customHeight="1">
      <c r="A50" s="59"/>
      <c r="B50" s="149">
        <v>47</v>
      </c>
      <c r="C50" s="149">
        <v>42</v>
      </c>
      <c r="D50" s="150" t="s">
        <v>64</v>
      </c>
      <c r="E50" s="149">
        <f>VLOOKUP(B50,Data!$A$5:$T$85,$E$6)</f>
        <v>559.24153329397029</v>
      </c>
      <c r="F50" s="149">
        <f t="shared" si="0"/>
        <v>559.24200329397024</v>
      </c>
      <c r="G50" s="149">
        <f t="shared" si="4"/>
        <v>35</v>
      </c>
      <c r="H50" s="151" t="str">
        <f t="shared" si="5"/>
        <v xml:space="preserve">Baw Baw </v>
      </c>
      <c r="I50" s="151">
        <f t="shared" si="6"/>
        <v>448.87307188239635</v>
      </c>
      <c r="J50" s="59"/>
      <c r="K50" s="32"/>
      <c r="L50" s="32"/>
      <c r="M50" s="32"/>
      <c r="N50" s="32"/>
      <c r="O50" s="32"/>
      <c r="P50" s="32"/>
      <c r="Q50" s="32"/>
      <c r="R50" s="32"/>
      <c r="S50" s="32"/>
      <c r="T50" s="32"/>
      <c r="U50" s="32"/>
      <c r="V50" s="32"/>
    </row>
    <row r="51" spans="1:22" s="124" customFormat="1" ht="10.9" customHeight="1">
      <c r="A51" s="59"/>
      <c r="B51" s="149">
        <v>48</v>
      </c>
      <c r="C51" s="149">
        <v>43</v>
      </c>
      <c r="D51" s="150" t="s">
        <v>65</v>
      </c>
      <c r="E51" s="149">
        <f>VLOOKUP(B51,Data!$A$5:$T$85,$E$6)</f>
        <v>259.63643185499797</v>
      </c>
      <c r="F51" s="149">
        <f t="shared" si="0"/>
        <v>259.63691185499795</v>
      </c>
      <c r="G51" s="149">
        <f t="shared" si="4"/>
        <v>57</v>
      </c>
      <c r="H51" s="151" t="str">
        <f t="shared" si="5"/>
        <v xml:space="preserve">Colac-Otway </v>
      </c>
      <c r="I51" s="151">
        <f t="shared" si="6"/>
        <v>448.05797224091702</v>
      </c>
      <c r="J51" s="59"/>
      <c r="K51" s="32"/>
      <c r="L51" s="32"/>
      <c r="M51" s="32"/>
      <c r="N51" s="32"/>
      <c r="O51" s="32"/>
      <c r="P51" s="32"/>
      <c r="Q51" s="32"/>
      <c r="R51" s="32"/>
      <c r="S51" s="32"/>
      <c r="T51" s="32"/>
      <c r="U51" s="32"/>
      <c r="V51" s="32"/>
    </row>
    <row r="52" spans="1:22" s="124" customFormat="1" ht="10.9" customHeight="1">
      <c r="A52" s="59"/>
      <c r="B52" s="149">
        <v>49</v>
      </c>
      <c r="C52" s="149">
        <v>44</v>
      </c>
      <c r="D52" s="150" t="s">
        <v>66</v>
      </c>
      <c r="E52" s="149">
        <f>VLOOKUP(B52,Data!$A$5:$T$85,$E$6)</f>
        <v>769.60160222218656</v>
      </c>
      <c r="F52" s="149">
        <f t="shared" si="0"/>
        <v>769.60209222218657</v>
      </c>
      <c r="G52" s="149">
        <f t="shared" si="4"/>
        <v>12</v>
      </c>
      <c r="H52" s="151" t="str">
        <f t="shared" si="5"/>
        <v>Queenscliffe</v>
      </c>
      <c r="I52" s="151">
        <f t="shared" si="6"/>
        <v>444.59051841368296</v>
      </c>
      <c r="J52" s="59"/>
      <c r="K52" s="32"/>
      <c r="L52" s="32"/>
      <c r="M52" s="32"/>
      <c r="N52" s="32"/>
      <c r="O52" s="32"/>
      <c r="P52" s="32"/>
      <c r="Q52" s="32"/>
      <c r="R52" s="32"/>
      <c r="S52" s="32"/>
      <c r="T52" s="32"/>
      <c r="U52" s="32"/>
      <c r="V52" s="32"/>
    </row>
    <row r="53" spans="1:22" s="124" customFormat="1" ht="10.9" customHeight="1">
      <c r="A53" s="59"/>
      <c r="B53" s="149">
        <v>50</v>
      </c>
      <c r="C53" s="149">
        <v>45</v>
      </c>
      <c r="D53" s="150" t="s">
        <v>67</v>
      </c>
      <c r="E53" s="149">
        <f>VLOOKUP(B53,Data!$A$5:$T$85,$E$6)</f>
        <v>862.48858921942553</v>
      </c>
      <c r="F53" s="149">
        <f t="shared" si="0"/>
        <v>862.48908921942552</v>
      </c>
      <c r="G53" s="149">
        <f t="shared" si="4"/>
        <v>4</v>
      </c>
      <c r="H53" s="151" t="str">
        <f t="shared" si="5"/>
        <v xml:space="preserve">Whitehorse </v>
      </c>
      <c r="I53" s="151">
        <f t="shared" si="6"/>
        <v>431.55166812886853</v>
      </c>
      <c r="J53" s="59"/>
      <c r="K53" s="32"/>
      <c r="L53" s="32"/>
      <c r="M53" s="32"/>
      <c r="N53" s="32"/>
      <c r="O53" s="32"/>
      <c r="P53" s="32"/>
      <c r="Q53" s="32"/>
      <c r="R53" s="32"/>
      <c r="S53" s="32"/>
      <c r="T53" s="32"/>
      <c r="U53" s="32"/>
      <c r="V53" s="32"/>
    </row>
    <row r="54" spans="1:22" s="124" customFormat="1" ht="10.9" customHeight="1">
      <c r="A54" s="59"/>
      <c r="B54" s="149">
        <v>51</v>
      </c>
      <c r="C54" s="149">
        <v>46</v>
      </c>
      <c r="D54" s="150" t="s">
        <v>68</v>
      </c>
      <c r="E54" s="149">
        <f>VLOOKUP(B54,Data!$A$5:$T$85,$E$6)</f>
        <v>356.40809823944988</v>
      </c>
      <c r="F54" s="149">
        <f t="shared" si="0"/>
        <v>356.4086082394499</v>
      </c>
      <c r="G54" s="149">
        <f t="shared" si="4"/>
        <v>49</v>
      </c>
      <c r="H54" s="151" t="str">
        <f t="shared" si="5"/>
        <v xml:space="preserve">Moreland </v>
      </c>
      <c r="I54" s="151">
        <f t="shared" si="6"/>
        <v>424.79001354554413</v>
      </c>
      <c r="J54" s="59"/>
      <c r="K54" s="32"/>
      <c r="L54" s="32"/>
      <c r="M54" s="32"/>
      <c r="N54" s="32"/>
      <c r="O54" s="32"/>
      <c r="P54" s="32"/>
      <c r="Q54" s="32"/>
      <c r="R54" s="32"/>
      <c r="S54" s="32"/>
      <c r="T54" s="32"/>
      <c r="U54" s="32"/>
      <c r="V54" s="32"/>
    </row>
    <row r="55" spans="1:22" s="124" customFormat="1" ht="10.9" customHeight="1">
      <c r="A55" s="59"/>
      <c r="B55" s="149">
        <v>52</v>
      </c>
      <c r="C55" s="149">
        <v>47</v>
      </c>
      <c r="D55" s="150" t="s">
        <v>69</v>
      </c>
      <c r="E55" s="149">
        <f>VLOOKUP(B55,Data!$A$5:$T$85,$E$6)</f>
        <v>424.79001354554413</v>
      </c>
      <c r="F55" s="149">
        <f t="shared" si="0"/>
        <v>424.79053354554412</v>
      </c>
      <c r="G55" s="149">
        <f t="shared" si="4"/>
        <v>46</v>
      </c>
      <c r="H55" s="151" t="str">
        <f t="shared" si="5"/>
        <v xml:space="preserve">Cardinia </v>
      </c>
      <c r="I55" s="151">
        <f t="shared" si="6"/>
        <v>402.72534240004296</v>
      </c>
      <c r="J55" s="59"/>
      <c r="K55" s="32"/>
      <c r="L55" s="32"/>
      <c r="M55" s="32"/>
      <c r="N55" s="32"/>
      <c r="O55" s="32"/>
      <c r="P55" s="32"/>
      <c r="Q55" s="32"/>
      <c r="R55" s="32"/>
      <c r="S55" s="32"/>
      <c r="T55" s="32"/>
      <c r="U55" s="32"/>
      <c r="V55" s="32"/>
    </row>
    <row r="56" spans="1:22" s="124" customFormat="1" ht="10.9" customHeight="1">
      <c r="A56" s="59"/>
      <c r="B56" s="149">
        <v>53</v>
      </c>
      <c r="C56" s="149">
        <v>48</v>
      </c>
      <c r="D56" s="150" t="s">
        <v>70</v>
      </c>
      <c r="E56" s="149">
        <f>VLOOKUP(B56,Data!$A$5:$T$85,$E$6)</f>
        <v>670.6323008054278</v>
      </c>
      <c r="F56" s="149">
        <f t="shared" si="0"/>
        <v>670.63283080542783</v>
      </c>
      <c r="G56" s="149">
        <f t="shared" si="4"/>
        <v>21</v>
      </c>
      <c r="H56" s="151" t="str">
        <f t="shared" si="5"/>
        <v xml:space="preserve">Campaspe </v>
      </c>
      <c r="I56" s="151">
        <f t="shared" si="6"/>
        <v>379.5191267692469</v>
      </c>
      <c r="J56" s="59"/>
      <c r="K56" s="32"/>
      <c r="L56" s="32"/>
      <c r="M56" s="32"/>
      <c r="N56" s="32"/>
      <c r="O56" s="32"/>
      <c r="P56" s="32"/>
      <c r="Q56" s="32"/>
      <c r="R56" s="32"/>
      <c r="S56" s="32"/>
      <c r="T56" s="32"/>
      <c r="U56" s="32"/>
      <c r="V56" s="32"/>
    </row>
    <row r="57" spans="1:22" s="124" customFormat="1" ht="10.9" customHeight="1">
      <c r="A57" s="59"/>
      <c r="B57" s="149">
        <v>54</v>
      </c>
      <c r="C57" s="149">
        <v>49</v>
      </c>
      <c r="D57" s="150" t="s">
        <v>71</v>
      </c>
      <c r="E57" s="149">
        <f>VLOOKUP(B57,Data!$A$5:$T$85,$E$6)</f>
        <v>192.55352569925486</v>
      </c>
      <c r="F57" s="149">
        <f t="shared" si="0"/>
        <v>192.55406569925486</v>
      </c>
      <c r="G57" s="149">
        <f t="shared" si="4"/>
        <v>65</v>
      </c>
      <c r="H57" s="151" t="str">
        <f t="shared" si="5"/>
        <v xml:space="preserve">Moorabool </v>
      </c>
      <c r="I57" s="151">
        <f t="shared" si="6"/>
        <v>356.40809823944988</v>
      </c>
      <c r="J57" s="59"/>
      <c r="K57" s="32"/>
      <c r="L57" s="32"/>
      <c r="M57" s="32"/>
      <c r="N57" s="32"/>
      <c r="O57" s="32"/>
      <c r="P57" s="32"/>
      <c r="Q57" s="32"/>
      <c r="R57" s="32"/>
      <c r="S57" s="32"/>
      <c r="T57" s="32"/>
      <c r="U57" s="32"/>
      <c r="V57" s="32"/>
    </row>
    <row r="58" spans="1:22" s="124" customFormat="1" ht="10.9" customHeight="1">
      <c r="A58" s="59"/>
      <c r="B58" s="149">
        <v>56</v>
      </c>
      <c r="C58" s="149">
        <v>50</v>
      </c>
      <c r="D58" s="150" t="s">
        <v>73</v>
      </c>
      <c r="E58" s="149">
        <f>VLOOKUP(B58,Data!$A$5:$T$85,$E$6)</f>
        <v>129.45667546130323</v>
      </c>
      <c r="F58" s="149">
        <f t="shared" si="0"/>
        <v>129.45723546130324</v>
      </c>
      <c r="G58" s="149">
        <f t="shared" si="4"/>
        <v>69</v>
      </c>
      <c r="H58" s="151" t="str">
        <f t="shared" si="5"/>
        <v xml:space="preserve">Yarra </v>
      </c>
      <c r="I58" s="151">
        <f t="shared" si="6"/>
        <v>353.42833640731885</v>
      </c>
      <c r="J58" s="59"/>
      <c r="K58" s="32"/>
      <c r="L58" s="32"/>
      <c r="M58" s="32"/>
      <c r="N58" s="32"/>
      <c r="O58" s="32"/>
      <c r="P58" s="32"/>
      <c r="Q58" s="32"/>
      <c r="R58" s="32"/>
      <c r="S58" s="32"/>
      <c r="T58" s="32"/>
      <c r="U58" s="32"/>
      <c r="V58" s="32"/>
    </row>
    <row r="59" spans="1:22" s="124" customFormat="1" ht="10.9" customHeight="1">
      <c r="A59" s="59"/>
      <c r="B59" s="149">
        <v>57</v>
      </c>
      <c r="C59" s="149">
        <v>51</v>
      </c>
      <c r="D59" s="150" t="s">
        <v>74</v>
      </c>
      <c r="E59" s="149">
        <f>VLOOKUP(B59,Data!$A$5:$T$85,$E$6)</f>
        <v>195.66378335919177</v>
      </c>
      <c r="F59" s="149">
        <f t="shared" si="0"/>
        <v>195.66435335919178</v>
      </c>
      <c r="G59" s="149">
        <f t="shared" si="4"/>
        <v>64</v>
      </c>
      <c r="H59" s="151" t="str">
        <f t="shared" si="5"/>
        <v xml:space="preserve">Wodonga </v>
      </c>
      <c r="I59" s="151">
        <f t="shared" si="6"/>
        <v>328.66931763397099</v>
      </c>
      <c r="J59" s="59"/>
      <c r="K59" s="32"/>
      <c r="L59" s="32"/>
      <c r="M59" s="32"/>
      <c r="N59" s="32"/>
      <c r="O59" s="32"/>
      <c r="P59" s="32"/>
      <c r="Q59" s="32"/>
      <c r="R59" s="32"/>
      <c r="S59" s="32"/>
      <c r="T59" s="32"/>
      <c r="U59" s="32"/>
      <c r="V59" s="32"/>
    </row>
    <row r="60" spans="1:22" s="124" customFormat="1" ht="10.9" customHeight="1">
      <c r="A60" s="59"/>
      <c r="B60" s="149">
        <v>58</v>
      </c>
      <c r="C60" s="149">
        <v>52</v>
      </c>
      <c r="D60" s="150" t="s">
        <v>75</v>
      </c>
      <c r="E60" s="149">
        <f>VLOOKUP(B60,Data!$A$5:$T$85,$E$6)</f>
        <v>489.25228755641643</v>
      </c>
      <c r="F60" s="149">
        <f t="shared" si="0"/>
        <v>489.25286755641645</v>
      </c>
      <c r="G60" s="149">
        <f t="shared" si="4"/>
        <v>40</v>
      </c>
      <c r="H60" s="151" t="str">
        <f t="shared" si="5"/>
        <v xml:space="preserve">Port Phillip </v>
      </c>
      <c r="I60" s="151">
        <f t="shared" si="6"/>
        <v>314.73883561019477</v>
      </c>
      <c r="J60" s="59"/>
      <c r="K60" s="32"/>
      <c r="L60" s="32"/>
      <c r="M60" s="32"/>
      <c r="N60" s="32"/>
      <c r="O60" s="32"/>
      <c r="P60" s="32"/>
      <c r="Q60" s="32"/>
      <c r="R60" s="32"/>
      <c r="S60" s="32"/>
      <c r="T60" s="32"/>
      <c r="U60" s="32"/>
      <c r="V60" s="32"/>
    </row>
    <row r="61" spans="1:22" s="124" customFormat="1" ht="10.9" customHeight="1">
      <c r="A61" s="59"/>
      <c r="B61" s="149">
        <v>59</v>
      </c>
      <c r="C61" s="149">
        <v>53</v>
      </c>
      <c r="D61" s="150" t="s">
        <v>76</v>
      </c>
      <c r="E61" s="149">
        <f>VLOOKUP(B61,Data!$A$5:$T$85,$E$6)</f>
        <v>314.73883561019477</v>
      </c>
      <c r="F61" s="149">
        <f t="shared" si="0"/>
        <v>314.73942561019476</v>
      </c>
      <c r="G61" s="149">
        <f t="shared" si="4"/>
        <v>52</v>
      </c>
      <c r="H61" s="151" t="str">
        <f t="shared" si="5"/>
        <v xml:space="preserve">Corangamite </v>
      </c>
      <c r="I61" s="151">
        <f t="shared" si="6"/>
        <v>307.91185788330176</v>
      </c>
      <c r="J61" s="59"/>
      <c r="K61" s="32"/>
      <c r="L61" s="32"/>
      <c r="M61" s="32"/>
      <c r="N61" s="32"/>
      <c r="O61" s="32"/>
      <c r="P61" s="32"/>
      <c r="Q61" s="32"/>
      <c r="R61" s="32"/>
      <c r="S61" s="32"/>
      <c r="T61" s="32"/>
      <c r="U61" s="32"/>
      <c r="V61" s="32"/>
    </row>
    <row r="62" spans="1:22" s="124" customFormat="1" ht="10.9" customHeight="1">
      <c r="A62" s="59"/>
      <c r="B62" s="149">
        <v>61</v>
      </c>
      <c r="C62" s="149">
        <v>54</v>
      </c>
      <c r="D62" s="150" t="s">
        <v>27</v>
      </c>
      <c r="E62" s="149">
        <f>VLOOKUP(B62,Data!$A$5:$T$85,$E$6)</f>
        <v>444.59051841368296</v>
      </c>
      <c r="F62" s="149">
        <f t="shared" si="0"/>
        <v>444.59112841368295</v>
      </c>
      <c r="G62" s="149">
        <f t="shared" si="4"/>
        <v>44</v>
      </c>
      <c r="H62" s="151" t="str">
        <f t="shared" si="5"/>
        <v xml:space="preserve">South Gippsland </v>
      </c>
      <c r="I62" s="151">
        <f t="shared" si="6"/>
        <v>301.18282071445867</v>
      </c>
      <c r="J62" s="59"/>
      <c r="K62" s="32"/>
      <c r="L62" s="32"/>
      <c r="M62" s="32"/>
      <c r="N62" s="32"/>
      <c r="O62" s="32"/>
      <c r="P62" s="32"/>
      <c r="Q62" s="32"/>
      <c r="R62" s="32"/>
      <c r="S62" s="32"/>
      <c r="T62" s="32"/>
      <c r="U62" s="32"/>
      <c r="V62" s="32"/>
    </row>
    <row r="63" spans="1:22" s="124" customFormat="1" ht="10.9" customHeight="1">
      <c r="A63" s="59"/>
      <c r="B63" s="149">
        <v>62</v>
      </c>
      <c r="C63" s="149">
        <v>55</v>
      </c>
      <c r="D63" s="150" t="s">
        <v>79</v>
      </c>
      <c r="E63" s="149">
        <f>VLOOKUP(B63,Data!$A$5:$T$85,$E$6)</f>
        <v>301.18282071445867</v>
      </c>
      <c r="F63" s="149">
        <f t="shared" ref="F63:F78" si="7">E63+0.00001*B63</f>
        <v>301.1834407144587</v>
      </c>
      <c r="G63" s="149">
        <f t="shared" si="4"/>
        <v>54</v>
      </c>
      <c r="H63" s="151" t="str">
        <f t="shared" si="5"/>
        <v xml:space="preserve">Gannawarra </v>
      </c>
      <c r="I63" s="151">
        <f t="shared" si="6"/>
        <v>284.89905473953763</v>
      </c>
      <c r="J63" s="59"/>
      <c r="K63" s="32"/>
      <c r="L63" s="32"/>
      <c r="M63" s="32"/>
      <c r="N63" s="32"/>
      <c r="O63" s="32"/>
      <c r="P63" s="32"/>
      <c r="Q63" s="32"/>
      <c r="R63" s="32"/>
      <c r="S63" s="32"/>
      <c r="T63" s="32"/>
      <c r="U63" s="32"/>
      <c r="V63" s="32"/>
    </row>
    <row r="64" spans="1:22" s="124" customFormat="1" ht="10.9" customHeight="1">
      <c r="A64" s="59"/>
      <c r="B64" s="149">
        <v>63</v>
      </c>
      <c r="C64" s="149">
        <v>56</v>
      </c>
      <c r="D64" s="150" t="s">
        <v>80</v>
      </c>
      <c r="E64" s="149">
        <f>VLOOKUP(B64,Data!$A$5:$T$85,$E$6)</f>
        <v>547.79642846143634</v>
      </c>
      <c r="F64" s="149">
        <f t="shared" si="7"/>
        <v>547.79705846143634</v>
      </c>
      <c r="G64" s="149">
        <f t="shared" si="4"/>
        <v>38</v>
      </c>
      <c r="H64" s="151" t="str">
        <f t="shared" si="5"/>
        <v xml:space="preserve">Alpine </v>
      </c>
      <c r="I64" s="151">
        <f t="shared" si="6"/>
        <v>276.77883628254148</v>
      </c>
      <c r="J64" s="59"/>
      <c r="K64" s="32"/>
      <c r="L64" s="32"/>
      <c r="M64" s="32"/>
      <c r="N64" s="32"/>
      <c r="O64" s="32"/>
      <c r="P64" s="32"/>
      <c r="Q64" s="32"/>
      <c r="R64" s="32"/>
      <c r="S64" s="32"/>
      <c r="T64" s="32"/>
      <c r="U64" s="32"/>
      <c r="V64" s="32"/>
    </row>
    <row r="65" spans="1:22" s="124" customFormat="1" ht="10.9" customHeight="1">
      <c r="A65" s="59"/>
      <c r="B65" s="149">
        <v>64</v>
      </c>
      <c r="C65" s="149">
        <v>57</v>
      </c>
      <c r="D65" s="150" t="s">
        <v>81</v>
      </c>
      <c r="E65" s="149">
        <f>VLOOKUP(B65,Data!$A$5:$T$85,$E$6)</f>
        <v>213.05969471148532</v>
      </c>
      <c r="F65" s="149">
        <f t="shared" si="7"/>
        <v>213.06033471148532</v>
      </c>
      <c r="G65" s="149">
        <f t="shared" si="4"/>
        <v>62</v>
      </c>
      <c r="H65" s="151" t="str">
        <f t="shared" si="5"/>
        <v xml:space="preserve">Moira </v>
      </c>
      <c r="I65" s="151">
        <f t="shared" si="6"/>
        <v>259.63643185499797</v>
      </c>
      <c r="J65" s="59"/>
      <c r="K65" s="32"/>
      <c r="L65" s="32"/>
      <c r="M65" s="32"/>
      <c r="N65" s="32"/>
      <c r="O65" s="32"/>
      <c r="P65" s="32"/>
      <c r="Q65" s="32"/>
      <c r="R65" s="32"/>
      <c r="S65" s="32"/>
      <c r="T65" s="32"/>
      <c r="U65" s="32"/>
      <c r="V65" s="32"/>
    </row>
    <row r="66" spans="1:22" s="124" customFormat="1" ht="10.9" customHeight="1">
      <c r="A66" s="59"/>
      <c r="B66" s="149">
        <v>65</v>
      </c>
      <c r="C66" s="149">
        <v>58</v>
      </c>
      <c r="D66" s="150" t="s">
        <v>82</v>
      </c>
      <c r="E66" s="149">
        <f>VLOOKUP(B66,Data!$A$5:$T$85,$E$6)</f>
        <v>253.50640723137212</v>
      </c>
      <c r="F66" s="149">
        <f t="shared" si="7"/>
        <v>253.50705723137213</v>
      </c>
      <c r="G66" s="149">
        <f t="shared" si="4"/>
        <v>60</v>
      </c>
      <c r="H66" s="151" t="str">
        <f t="shared" si="5"/>
        <v xml:space="preserve">Hepburn </v>
      </c>
      <c r="I66" s="151">
        <f t="shared" si="6"/>
        <v>259.628503447387</v>
      </c>
      <c r="J66" s="59"/>
      <c r="K66" s="32"/>
      <c r="L66" s="32"/>
      <c r="M66" s="32"/>
      <c r="N66" s="32"/>
      <c r="O66" s="32"/>
      <c r="P66" s="32"/>
      <c r="Q66" s="32"/>
      <c r="R66" s="32"/>
      <c r="S66" s="32"/>
      <c r="T66" s="32"/>
      <c r="U66" s="32"/>
      <c r="V66" s="32"/>
    </row>
    <row r="67" spans="1:22" s="124" customFormat="1" ht="10.9" customHeight="1">
      <c r="A67" s="59"/>
      <c r="B67" s="149">
        <v>66</v>
      </c>
      <c r="C67" s="149">
        <v>59</v>
      </c>
      <c r="D67" s="150" t="s">
        <v>83</v>
      </c>
      <c r="E67" s="149">
        <f>VLOOKUP(B67,Data!$A$5:$T$85,$E$6)</f>
        <v>150.4209000690303</v>
      </c>
      <c r="F67" s="149">
        <f t="shared" si="7"/>
        <v>150.42156006903031</v>
      </c>
      <c r="G67" s="149">
        <f t="shared" si="4"/>
        <v>67</v>
      </c>
      <c r="H67" s="151" t="str">
        <f t="shared" si="5"/>
        <v xml:space="preserve">Yarra Ranges </v>
      </c>
      <c r="I67" s="151">
        <f t="shared" si="6"/>
        <v>253.78171811312833</v>
      </c>
      <c r="J67" s="59"/>
      <c r="K67" s="32"/>
      <c r="L67" s="32"/>
      <c r="M67" s="32"/>
      <c r="N67" s="32"/>
      <c r="O67" s="32"/>
      <c r="P67" s="32"/>
      <c r="Q67" s="32"/>
      <c r="R67" s="32"/>
      <c r="S67" s="32"/>
      <c r="T67" s="32"/>
      <c r="U67" s="32"/>
      <c r="V67" s="32"/>
    </row>
    <row r="68" spans="1:22" s="124" customFormat="1" ht="10.9" customHeight="1">
      <c r="A68" s="59"/>
      <c r="B68" s="149">
        <v>67</v>
      </c>
      <c r="C68" s="149">
        <v>60</v>
      </c>
      <c r="D68" s="150" t="s">
        <v>84</v>
      </c>
      <c r="E68" s="149">
        <f>VLOOKUP(B68,Data!$A$5:$T$85,$E$6)</f>
        <v>605.21009075329277</v>
      </c>
      <c r="F68" s="149">
        <f t="shared" si="7"/>
        <v>605.21076075329279</v>
      </c>
      <c r="G68" s="149">
        <f t="shared" si="4"/>
        <v>29</v>
      </c>
      <c r="H68" s="151" t="str">
        <f t="shared" si="5"/>
        <v xml:space="preserve">Strathbogie </v>
      </c>
      <c r="I68" s="151">
        <f t="shared" si="6"/>
        <v>253.50640723137212</v>
      </c>
      <c r="J68" s="59"/>
      <c r="K68" s="32"/>
      <c r="L68" s="32"/>
      <c r="M68" s="32"/>
      <c r="N68" s="32"/>
      <c r="O68" s="32"/>
      <c r="P68" s="32"/>
      <c r="Q68" s="32"/>
      <c r="R68" s="32"/>
      <c r="S68" s="32"/>
      <c r="T68" s="32"/>
      <c r="U68" s="32"/>
      <c r="V68" s="32"/>
    </row>
    <row r="69" spans="1:22" s="124" customFormat="1" ht="10.9" customHeight="1">
      <c r="A69" s="59"/>
      <c r="B69" s="149">
        <v>68</v>
      </c>
      <c r="C69" s="149">
        <v>61</v>
      </c>
      <c r="D69" s="150" t="s">
        <v>85</v>
      </c>
      <c r="E69" s="149">
        <f>VLOOKUP(B69,Data!$A$5:$T$85,$E$6)</f>
        <v>89.333723584636076</v>
      </c>
      <c r="F69" s="149">
        <f t="shared" si="7"/>
        <v>89.334403584636078</v>
      </c>
      <c r="G69" s="149">
        <f t="shared" si="4"/>
        <v>70</v>
      </c>
      <c r="H69" s="151" t="str">
        <f t="shared" si="5"/>
        <v xml:space="preserve">Macedon Ranges </v>
      </c>
      <c r="I69" s="151">
        <f t="shared" si="6"/>
        <v>245.57535709036395</v>
      </c>
      <c r="J69" s="59"/>
      <c r="K69" s="32"/>
      <c r="L69" s="32"/>
      <c r="M69" s="32"/>
      <c r="N69" s="32"/>
      <c r="O69" s="32"/>
      <c r="P69" s="32"/>
      <c r="Q69" s="32"/>
      <c r="R69" s="32"/>
      <c r="S69" s="32"/>
      <c r="T69" s="32"/>
      <c r="U69" s="32"/>
      <c r="V69" s="32"/>
    </row>
    <row r="70" spans="1:22" s="124" customFormat="1" ht="10.9" customHeight="1">
      <c r="A70" s="59"/>
      <c r="B70" s="149">
        <v>69</v>
      </c>
      <c r="C70" s="149">
        <v>62</v>
      </c>
      <c r="D70" s="150" t="s">
        <v>86</v>
      </c>
      <c r="E70" s="149">
        <f>VLOOKUP(B70,Data!$A$5:$T$85,$E$6)</f>
        <v>463.84781624950023</v>
      </c>
      <c r="F70" s="149">
        <f t="shared" si="7"/>
        <v>463.84850624950025</v>
      </c>
      <c r="G70" s="149">
        <f t="shared" si="4"/>
        <v>41</v>
      </c>
      <c r="H70" s="151" t="str">
        <f t="shared" si="5"/>
        <v xml:space="preserve">Stonnington </v>
      </c>
      <c r="I70" s="151">
        <f t="shared" si="6"/>
        <v>213.05969471148532</v>
      </c>
      <c r="J70" s="59"/>
      <c r="K70" s="32"/>
      <c r="L70" s="32"/>
      <c r="M70" s="32"/>
      <c r="N70" s="32"/>
      <c r="O70" s="32"/>
      <c r="P70" s="32"/>
      <c r="Q70" s="32"/>
      <c r="R70" s="32"/>
      <c r="S70" s="32"/>
      <c r="T70" s="32"/>
      <c r="U70" s="32"/>
      <c r="V70" s="32"/>
    </row>
    <row r="71" spans="1:22" s="124" customFormat="1" ht="10.9" customHeight="1">
      <c r="A71" s="59"/>
      <c r="B71" s="149">
        <v>70</v>
      </c>
      <c r="C71" s="149">
        <v>63</v>
      </c>
      <c r="D71" s="150" t="s">
        <v>87</v>
      </c>
      <c r="E71" s="149">
        <f>VLOOKUP(B71,Data!$A$5:$T$85,$E$6)</f>
        <v>848.94816813236753</v>
      </c>
      <c r="F71" s="149">
        <f t="shared" si="7"/>
        <v>848.94886813236758</v>
      </c>
      <c r="G71" s="149">
        <f t="shared" si="4"/>
        <v>6</v>
      </c>
      <c r="H71" s="151" t="str">
        <f t="shared" si="5"/>
        <v xml:space="preserve">Mansfield </v>
      </c>
      <c r="I71" s="151">
        <f t="shared" si="6"/>
        <v>203.05313709830568</v>
      </c>
      <c r="J71" s="59"/>
      <c r="K71" s="32"/>
      <c r="L71" s="32"/>
      <c r="M71" s="32"/>
      <c r="N71" s="32"/>
      <c r="O71" s="32"/>
      <c r="P71" s="32"/>
      <c r="Q71" s="32"/>
      <c r="R71" s="32"/>
      <c r="S71" s="32"/>
      <c r="T71" s="32"/>
      <c r="U71" s="32"/>
      <c r="V71" s="32"/>
    </row>
    <row r="72" spans="1:22" s="124" customFormat="1" ht="10.9" customHeight="1">
      <c r="A72" s="59"/>
      <c r="B72" s="149">
        <v>71</v>
      </c>
      <c r="C72" s="149">
        <v>64</v>
      </c>
      <c r="D72" s="150" t="s">
        <v>88</v>
      </c>
      <c r="E72" s="149">
        <f>VLOOKUP(B72,Data!$A$5:$T$85,$E$6)</f>
        <v>735.82903818712737</v>
      </c>
      <c r="F72" s="149">
        <f t="shared" si="7"/>
        <v>735.82974818712739</v>
      </c>
      <c r="G72" s="149">
        <f t="shared" si="4"/>
        <v>14</v>
      </c>
      <c r="H72" s="151" t="str">
        <f t="shared" si="5"/>
        <v xml:space="preserve">Nillumbik </v>
      </c>
      <c r="I72" s="151">
        <f t="shared" si="6"/>
        <v>195.66378335919177</v>
      </c>
      <c r="J72" s="59"/>
      <c r="K72" s="32"/>
      <c r="L72" s="32"/>
      <c r="M72" s="32"/>
      <c r="N72" s="32"/>
      <c r="O72" s="32"/>
      <c r="P72" s="32"/>
      <c r="Q72" s="32"/>
      <c r="R72" s="32"/>
      <c r="S72" s="32"/>
      <c r="T72" s="32"/>
      <c r="U72" s="32"/>
      <c r="V72" s="32"/>
    </row>
    <row r="73" spans="1:22" s="124" customFormat="1" ht="10.9" customHeight="1">
      <c r="A73" s="59"/>
      <c r="B73" s="149">
        <v>73</v>
      </c>
      <c r="C73" s="149">
        <v>65</v>
      </c>
      <c r="D73" s="150" t="s">
        <v>152</v>
      </c>
      <c r="E73" s="149">
        <f>VLOOKUP(B73,Data!$A$5:$T$85,$E$6)</f>
        <v>431.55166812886853</v>
      </c>
      <c r="F73" s="149">
        <f t="shared" si="7"/>
        <v>431.5523981288685</v>
      </c>
      <c r="G73" s="149">
        <f t="shared" ref="G73:G78" si="8">RANK(F73,F$9:F$78)</f>
        <v>45</v>
      </c>
      <c r="H73" s="151" t="str">
        <f t="shared" ref="H73:H78" si="9">VLOOKUP(MATCH(C73,G$9:G$78,0),$C$9:$G$78,2)</f>
        <v xml:space="preserve">Mount Alexander </v>
      </c>
      <c r="I73" s="151">
        <f t="shared" ref="I73:I78" si="10">VLOOKUP(MATCH(C73,G$9:G$78,0),$C$9:$G$78,3)</f>
        <v>192.55352569925486</v>
      </c>
      <c r="J73" s="59"/>
      <c r="K73" s="32"/>
      <c r="L73" s="32"/>
      <c r="M73" s="32"/>
      <c r="N73" s="32"/>
      <c r="O73" s="32"/>
      <c r="P73" s="32"/>
      <c r="Q73" s="32"/>
      <c r="R73" s="32"/>
      <c r="S73" s="32"/>
      <c r="T73" s="32"/>
      <c r="U73" s="32"/>
      <c r="V73" s="32"/>
    </row>
    <row r="74" spans="1:22" s="124" customFormat="1" ht="10.9" customHeight="1">
      <c r="A74" s="59"/>
      <c r="B74" s="149">
        <v>74</v>
      </c>
      <c r="C74" s="149">
        <v>66</v>
      </c>
      <c r="D74" s="150" t="s">
        <v>90</v>
      </c>
      <c r="E74" s="149">
        <f>VLOOKUP(B74,Data!$A$5:$T$85,$E$6)</f>
        <v>771.27225712103791</v>
      </c>
      <c r="F74" s="149">
        <f t="shared" si="7"/>
        <v>771.27299712103786</v>
      </c>
      <c r="G74" s="149">
        <f t="shared" si="8"/>
        <v>11</v>
      </c>
      <c r="H74" s="151" t="str">
        <f t="shared" si="9"/>
        <v xml:space="preserve">Bayside </v>
      </c>
      <c r="I74" s="151">
        <f t="shared" si="10"/>
        <v>157.53320580252355</v>
      </c>
      <c r="J74" s="59"/>
      <c r="K74" s="32"/>
      <c r="L74" s="32"/>
      <c r="M74" s="32"/>
      <c r="N74" s="32"/>
      <c r="O74" s="32"/>
      <c r="P74" s="32"/>
      <c r="Q74" s="32"/>
      <c r="R74" s="32"/>
      <c r="S74" s="32"/>
      <c r="T74" s="32"/>
      <c r="U74" s="32"/>
      <c r="V74" s="32"/>
    </row>
    <row r="75" spans="1:22" s="124" customFormat="1" ht="10.9" customHeight="1">
      <c r="A75" s="59"/>
      <c r="B75" s="149">
        <v>75</v>
      </c>
      <c r="C75" s="149">
        <v>67</v>
      </c>
      <c r="D75" s="150" t="s">
        <v>91</v>
      </c>
      <c r="E75" s="149">
        <f>VLOOKUP(B75,Data!$A$5:$T$85,$E$6)</f>
        <v>328.66931763397099</v>
      </c>
      <c r="F75" s="149">
        <f t="shared" si="7"/>
        <v>328.67006763397097</v>
      </c>
      <c r="G75" s="149">
        <f t="shared" si="8"/>
        <v>51</v>
      </c>
      <c r="H75" s="151" t="str">
        <f t="shared" si="9"/>
        <v xml:space="preserve">Surf Coast </v>
      </c>
      <c r="I75" s="151">
        <f t="shared" si="10"/>
        <v>150.4209000690303</v>
      </c>
      <c r="J75" s="59"/>
      <c r="K75" s="32"/>
      <c r="L75" s="32"/>
      <c r="M75" s="32"/>
      <c r="N75" s="32"/>
      <c r="O75" s="32"/>
      <c r="P75" s="32"/>
      <c r="Q75" s="32"/>
      <c r="R75" s="32"/>
      <c r="S75" s="32"/>
      <c r="T75" s="32"/>
      <c r="U75" s="32"/>
      <c r="V75" s="32"/>
    </row>
    <row r="76" spans="1:22" s="124" customFormat="1" ht="10.9" customHeight="1">
      <c r="A76" s="59"/>
      <c r="B76" s="149">
        <v>76</v>
      </c>
      <c r="C76" s="149">
        <v>68</v>
      </c>
      <c r="D76" s="150" t="s">
        <v>92</v>
      </c>
      <c r="E76" s="149">
        <f>VLOOKUP(B76,Data!$A$5:$T$85,$E$6)</f>
        <v>549.54504078250068</v>
      </c>
      <c r="F76" s="149">
        <f t="shared" si="7"/>
        <v>549.54580078250069</v>
      </c>
      <c r="G76" s="149">
        <f t="shared" si="8"/>
        <v>37</v>
      </c>
      <c r="H76" s="151" t="str">
        <f t="shared" si="9"/>
        <v xml:space="preserve">Boroondara </v>
      </c>
      <c r="I76" s="151">
        <f t="shared" si="10"/>
        <v>140.11320062857408</v>
      </c>
      <c r="J76" s="59"/>
      <c r="K76" s="32"/>
      <c r="L76" s="32"/>
      <c r="M76" s="32"/>
      <c r="N76" s="32"/>
      <c r="O76" s="32"/>
      <c r="P76" s="32"/>
      <c r="Q76" s="32"/>
      <c r="R76" s="32"/>
      <c r="S76" s="32"/>
      <c r="T76" s="32"/>
      <c r="U76" s="32"/>
      <c r="V76" s="32"/>
    </row>
    <row r="77" spans="1:22" s="124" customFormat="1" ht="10.9" customHeight="1">
      <c r="A77" s="59"/>
      <c r="B77" s="149">
        <v>77</v>
      </c>
      <c r="C77" s="149">
        <v>69</v>
      </c>
      <c r="D77" s="150" t="s">
        <v>155</v>
      </c>
      <c r="E77" s="149">
        <f>VLOOKUP(B77,Data!$A$5:$T$85,$E$6)</f>
        <v>353.42833640731885</v>
      </c>
      <c r="F77" s="149">
        <f t="shared" si="7"/>
        <v>353.42910640731884</v>
      </c>
      <c r="G77" s="149">
        <f t="shared" si="8"/>
        <v>50</v>
      </c>
      <c r="H77" s="151" t="str">
        <f t="shared" si="9"/>
        <v xml:space="preserve">Murrindindi </v>
      </c>
      <c r="I77" s="151">
        <f t="shared" si="10"/>
        <v>129.45667546130323</v>
      </c>
      <c r="J77" s="59"/>
      <c r="K77" s="32"/>
      <c r="L77" s="32"/>
      <c r="M77" s="32"/>
      <c r="N77" s="32"/>
      <c r="O77" s="32"/>
      <c r="P77" s="32"/>
      <c r="Q77" s="32"/>
      <c r="R77" s="32"/>
      <c r="S77" s="32"/>
      <c r="T77" s="32"/>
      <c r="U77" s="32"/>
      <c r="V77" s="32"/>
    </row>
    <row r="78" spans="1:22" s="124" customFormat="1" ht="10.9" customHeight="1">
      <c r="A78" s="59"/>
      <c r="B78" s="149">
        <v>78</v>
      </c>
      <c r="C78" s="149">
        <v>70</v>
      </c>
      <c r="D78" s="150" t="s">
        <v>93</v>
      </c>
      <c r="E78" s="149">
        <f>VLOOKUP(B78,Data!$A$5:$T$85,$E$6)</f>
        <v>253.78171811312833</v>
      </c>
      <c r="F78" s="149">
        <f t="shared" si="7"/>
        <v>253.78249811312833</v>
      </c>
      <c r="G78" s="149">
        <f t="shared" si="8"/>
        <v>59</v>
      </c>
      <c r="H78" s="151" t="str">
        <f t="shared" si="9"/>
        <v xml:space="preserve">Towong </v>
      </c>
      <c r="I78" s="151">
        <f t="shared" si="10"/>
        <v>89.333723584636076</v>
      </c>
      <c r="J78" s="59"/>
      <c r="K78" s="32"/>
      <c r="L78" s="32"/>
      <c r="M78" s="32"/>
      <c r="N78" s="32"/>
      <c r="O78" s="32"/>
      <c r="P78" s="32"/>
      <c r="Q78" s="32"/>
      <c r="R78" s="32"/>
      <c r="S78" s="32"/>
      <c r="T78" s="32"/>
      <c r="U78" s="32"/>
      <c r="V78" s="32"/>
    </row>
    <row r="79" spans="1:22" s="124" customFormat="1">
      <c r="A79" s="59"/>
      <c r="B79" s="149"/>
      <c r="C79" s="149"/>
      <c r="D79" s="150"/>
      <c r="E79" s="149"/>
      <c r="F79" s="149"/>
      <c r="G79" s="149"/>
      <c r="H79" s="151"/>
      <c r="I79" s="151"/>
      <c r="J79" s="59"/>
      <c r="K79" s="32"/>
      <c r="L79" s="32"/>
      <c r="M79" s="32"/>
      <c r="N79" s="32"/>
      <c r="O79" s="32"/>
      <c r="P79" s="32"/>
      <c r="Q79" s="32"/>
      <c r="R79" s="32"/>
      <c r="S79" s="32"/>
      <c r="T79" s="32"/>
      <c r="U79" s="32"/>
      <c r="V79" s="32"/>
    </row>
    <row r="80" spans="1:22" s="124" customFormat="1">
      <c r="A80" s="59"/>
      <c r="B80" s="149"/>
      <c r="C80" s="149"/>
      <c r="D80" s="150"/>
      <c r="E80" s="149"/>
      <c r="F80" s="149"/>
      <c r="G80" s="149"/>
      <c r="H80" s="151"/>
      <c r="I80" s="151"/>
      <c r="J80" s="59"/>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355600</xdr:colOff>
                    <xdr:row>4</xdr:row>
                    <xdr:rowOff>69850</xdr:rowOff>
                  </from>
                  <to>
                    <xdr:col>4</xdr:col>
                    <xdr:colOff>520700</xdr:colOff>
                    <xdr:row>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B851"/>
  <sheetViews>
    <sheetView showGridLines="0" showRowColHeaders="0" workbookViewId="0">
      <pane xSplit="8" ySplit="6" topLeftCell="I75" activePane="bottomRight" state="frozen"/>
      <selection pane="topRight" activeCell="I1" sqref="I1"/>
      <selection pane="bottomLeft" activeCell="A7" sqref="A7"/>
      <selection pane="bottomRight" activeCell="I105" sqref="I10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33.54296875" style="135" customWidth="1"/>
    <col min="6" max="7" width="18.08984375" style="133" customWidth="1"/>
    <col min="8" max="8" width="12" style="171" customWidth="1"/>
    <col min="9" max="9" width="16.08984375" style="153" customWidth="1"/>
    <col min="10" max="10" width="17.7265625" style="153" customWidth="1"/>
    <col min="11" max="28" width="8.81640625" style="153"/>
    <col min="29" max="256" width="8.81640625" style="133"/>
    <col min="257" max="257" width="6" style="133" customWidth="1"/>
    <col min="258" max="258" width="34.08984375" style="133" customWidth="1"/>
    <col min="259" max="259" width="18.08984375" style="133" customWidth="1"/>
    <col min="260" max="260" width="18.6328125" style="133" bestFit="1" customWidth="1"/>
    <col min="261" max="263" width="18.08984375" style="133" customWidth="1"/>
    <col min="264" max="264" width="12" style="133" customWidth="1"/>
    <col min="265" max="265" width="16.08984375" style="133" customWidth="1"/>
    <col min="266" max="512" width="8.81640625" style="133"/>
    <col min="513" max="513" width="6" style="133" customWidth="1"/>
    <col min="514" max="514" width="34.08984375" style="133" customWidth="1"/>
    <col min="515" max="515" width="18.08984375" style="133" customWidth="1"/>
    <col min="516" max="516" width="18.6328125" style="133" bestFit="1" customWidth="1"/>
    <col min="517" max="519" width="18.08984375" style="133" customWidth="1"/>
    <col min="520" max="520" width="12" style="133" customWidth="1"/>
    <col min="521" max="521" width="16.08984375" style="133" customWidth="1"/>
    <col min="522" max="768" width="8.81640625" style="133"/>
    <col min="769" max="769" width="6" style="133" customWidth="1"/>
    <col min="770" max="770" width="34.08984375" style="133" customWidth="1"/>
    <col min="771" max="771" width="18.08984375" style="133" customWidth="1"/>
    <col min="772" max="772" width="18.6328125" style="133" bestFit="1" customWidth="1"/>
    <col min="773" max="775" width="18.08984375" style="133" customWidth="1"/>
    <col min="776" max="776" width="12" style="133" customWidth="1"/>
    <col min="777" max="777" width="16.08984375" style="133" customWidth="1"/>
    <col min="778" max="1024" width="8.81640625" style="133"/>
    <col min="1025" max="1025" width="6" style="133" customWidth="1"/>
    <col min="1026" max="1026" width="34.08984375" style="133" customWidth="1"/>
    <col min="1027" max="1027" width="18.08984375" style="133" customWidth="1"/>
    <col min="1028" max="1028" width="18.6328125" style="133" bestFit="1" customWidth="1"/>
    <col min="1029" max="1031" width="18.08984375" style="133" customWidth="1"/>
    <col min="1032" max="1032" width="12" style="133" customWidth="1"/>
    <col min="1033" max="1033" width="16.08984375" style="133" customWidth="1"/>
    <col min="1034" max="1280" width="8.81640625" style="133"/>
    <col min="1281" max="1281" width="6" style="133" customWidth="1"/>
    <col min="1282" max="1282" width="34.08984375" style="133" customWidth="1"/>
    <col min="1283" max="1283" width="18.08984375" style="133" customWidth="1"/>
    <col min="1284" max="1284" width="18.6328125" style="133" bestFit="1" customWidth="1"/>
    <col min="1285" max="1287" width="18.08984375" style="133" customWidth="1"/>
    <col min="1288" max="1288" width="12" style="133" customWidth="1"/>
    <col min="1289" max="1289" width="16.08984375" style="133" customWidth="1"/>
    <col min="1290" max="1536" width="8.81640625" style="133"/>
    <col min="1537" max="1537" width="6" style="133" customWidth="1"/>
    <col min="1538" max="1538" width="34.08984375" style="133" customWidth="1"/>
    <col min="1539" max="1539" width="18.08984375" style="133" customWidth="1"/>
    <col min="1540" max="1540" width="18.6328125" style="133" bestFit="1" customWidth="1"/>
    <col min="1541" max="1543" width="18.08984375" style="133" customWidth="1"/>
    <col min="1544" max="1544" width="12" style="133" customWidth="1"/>
    <col min="1545" max="1545" width="16.08984375" style="133" customWidth="1"/>
    <col min="1546" max="1792" width="8.81640625" style="133"/>
    <col min="1793" max="1793" width="6" style="133" customWidth="1"/>
    <col min="1794" max="1794" width="34.08984375" style="133" customWidth="1"/>
    <col min="1795" max="1795" width="18.08984375" style="133" customWidth="1"/>
    <col min="1796" max="1796" width="18.6328125" style="133" bestFit="1" customWidth="1"/>
    <col min="1797" max="1799" width="18.08984375" style="133" customWidth="1"/>
    <col min="1800" max="1800" width="12" style="133" customWidth="1"/>
    <col min="1801" max="1801" width="16.08984375" style="133" customWidth="1"/>
    <col min="1802" max="2048" width="8.81640625" style="133"/>
    <col min="2049" max="2049" width="6" style="133" customWidth="1"/>
    <col min="2050" max="2050" width="34.08984375" style="133" customWidth="1"/>
    <col min="2051" max="2051" width="18.08984375" style="133" customWidth="1"/>
    <col min="2052" max="2052" width="18.6328125" style="133" bestFit="1" customWidth="1"/>
    <col min="2053" max="2055" width="18.08984375" style="133" customWidth="1"/>
    <col min="2056" max="2056" width="12" style="133" customWidth="1"/>
    <col min="2057" max="2057" width="16.08984375" style="133" customWidth="1"/>
    <col min="2058" max="2304" width="8.81640625" style="133"/>
    <col min="2305" max="2305" width="6" style="133" customWidth="1"/>
    <col min="2306" max="2306" width="34.08984375" style="133" customWidth="1"/>
    <col min="2307" max="2307" width="18.08984375" style="133" customWidth="1"/>
    <col min="2308" max="2308" width="18.6328125" style="133" bestFit="1" customWidth="1"/>
    <col min="2309" max="2311" width="18.08984375" style="133" customWidth="1"/>
    <col min="2312" max="2312" width="12" style="133" customWidth="1"/>
    <col min="2313" max="2313" width="16.08984375" style="133" customWidth="1"/>
    <col min="2314" max="2560" width="8.81640625" style="133"/>
    <col min="2561" max="2561" width="6" style="133" customWidth="1"/>
    <col min="2562" max="2562" width="34.08984375" style="133" customWidth="1"/>
    <col min="2563" max="2563" width="18.08984375" style="133" customWidth="1"/>
    <col min="2564" max="2564" width="18.6328125" style="133" bestFit="1" customWidth="1"/>
    <col min="2565" max="2567" width="18.08984375" style="133" customWidth="1"/>
    <col min="2568" max="2568" width="12" style="133" customWidth="1"/>
    <col min="2569" max="2569" width="16.08984375" style="133" customWidth="1"/>
    <col min="2570" max="2816" width="8.81640625" style="133"/>
    <col min="2817" max="2817" width="6" style="133" customWidth="1"/>
    <col min="2818" max="2818" width="34.08984375" style="133" customWidth="1"/>
    <col min="2819" max="2819" width="18.08984375" style="133" customWidth="1"/>
    <col min="2820" max="2820" width="18.6328125" style="133" bestFit="1" customWidth="1"/>
    <col min="2821" max="2823" width="18.08984375" style="133" customWidth="1"/>
    <col min="2824" max="2824" width="12" style="133" customWidth="1"/>
    <col min="2825" max="2825" width="16.08984375" style="133" customWidth="1"/>
    <col min="2826" max="3072" width="8.81640625" style="133"/>
    <col min="3073" max="3073" width="6" style="133" customWidth="1"/>
    <col min="3074" max="3074" width="34.08984375" style="133" customWidth="1"/>
    <col min="3075" max="3075" width="18.08984375" style="133" customWidth="1"/>
    <col min="3076" max="3076" width="18.6328125" style="133" bestFit="1" customWidth="1"/>
    <col min="3077" max="3079" width="18.08984375" style="133" customWidth="1"/>
    <col min="3080" max="3080" width="12" style="133" customWidth="1"/>
    <col min="3081" max="3081" width="16.08984375" style="133" customWidth="1"/>
    <col min="3082" max="3328" width="8.81640625" style="133"/>
    <col min="3329" max="3329" width="6" style="133" customWidth="1"/>
    <col min="3330" max="3330" width="34.08984375" style="133" customWidth="1"/>
    <col min="3331" max="3331" width="18.08984375" style="133" customWidth="1"/>
    <col min="3332" max="3332" width="18.6328125" style="133" bestFit="1" customWidth="1"/>
    <col min="3333" max="3335" width="18.08984375" style="133" customWidth="1"/>
    <col min="3336" max="3336" width="12" style="133" customWidth="1"/>
    <col min="3337" max="3337" width="16.08984375" style="133" customWidth="1"/>
    <col min="3338" max="3584" width="8.81640625" style="133"/>
    <col min="3585" max="3585" width="6" style="133" customWidth="1"/>
    <col min="3586" max="3586" width="34.08984375" style="133" customWidth="1"/>
    <col min="3587" max="3587" width="18.08984375" style="133" customWidth="1"/>
    <col min="3588" max="3588" width="18.6328125" style="133" bestFit="1" customWidth="1"/>
    <col min="3589" max="3591" width="18.08984375" style="133" customWidth="1"/>
    <col min="3592" max="3592" width="12" style="133" customWidth="1"/>
    <col min="3593" max="3593" width="16.08984375" style="133" customWidth="1"/>
    <col min="3594" max="3840" width="8.81640625" style="133"/>
    <col min="3841" max="3841" width="6" style="133" customWidth="1"/>
    <col min="3842" max="3842" width="34.08984375" style="133" customWidth="1"/>
    <col min="3843" max="3843" width="18.08984375" style="133" customWidth="1"/>
    <col min="3844" max="3844" width="18.6328125" style="133" bestFit="1" customWidth="1"/>
    <col min="3845" max="3847" width="18.08984375" style="133" customWidth="1"/>
    <col min="3848" max="3848" width="12" style="133" customWidth="1"/>
    <col min="3849" max="3849" width="16.08984375" style="133" customWidth="1"/>
    <col min="3850" max="4096" width="8.81640625" style="133"/>
    <col min="4097" max="4097" width="6" style="133" customWidth="1"/>
    <col min="4098" max="4098" width="34.08984375" style="133" customWidth="1"/>
    <col min="4099" max="4099" width="18.08984375" style="133" customWidth="1"/>
    <col min="4100" max="4100" width="18.6328125" style="133" bestFit="1" customWidth="1"/>
    <col min="4101" max="4103" width="18.08984375" style="133" customWidth="1"/>
    <col min="4104" max="4104" width="12" style="133" customWidth="1"/>
    <col min="4105" max="4105" width="16.08984375" style="133" customWidth="1"/>
    <col min="4106" max="4352" width="8.81640625" style="133"/>
    <col min="4353" max="4353" width="6" style="133" customWidth="1"/>
    <col min="4354" max="4354" width="34.08984375" style="133" customWidth="1"/>
    <col min="4355" max="4355" width="18.08984375" style="133" customWidth="1"/>
    <col min="4356" max="4356" width="18.6328125" style="133" bestFit="1" customWidth="1"/>
    <col min="4357" max="4359" width="18.08984375" style="133" customWidth="1"/>
    <col min="4360" max="4360" width="12" style="133" customWidth="1"/>
    <col min="4361" max="4361" width="16.08984375" style="133" customWidth="1"/>
    <col min="4362" max="4608" width="8.81640625" style="133"/>
    <col min="4609" max="4609" width="6" style="133" customWidth="1"/>
    <col min="4610" max="4610" width="34.08984375" style="133" customWidth="1"/>
    <col min="4611" max="4611" width="18.08984375" style="133" customWidth="1"/>
    <col min="4612" max="4612" width="18.6328125" style="133" bestFit="1" customWidth="1"/>
    <col min="4613" max="4615" width="18.08984375" style="133" customWidth="1"/>
    <col min="4616" max="4616" width="12" style="133" customWidth="1"/>
    <col min="4617" max="4617" width="16.08984375" style="133" customWidth="1"/>
    <col min="4618" max="4864" width="8.81640625" style="133"/>
    <col min="4865" max="4865" width="6" style="133" customWidth="1"/>
    <col min="4866" max="4866" width="34.08984375" style="133" customWidth="1"/>
    <col min="4867" max="4867" width="18.08984375" style="133" customWidth="1"/>
    <col min="4868" max="4868" width="18.6328125" style="133" bestFit="1" customWidth="1"/>
    <col min="4869" max="4871" width="18.08984375" style="133" customWidth="1"/>
    <col min="4872" max="4872" width="12" style="133" customWidth="1"/>
    <col min="4873" max="4873" width="16.08984375" style="133" customWidth="1"/>
    <col min="4874" max="5120" width="8.81640625" style="133"/>
    <col min="5121" max="5121" width="6" style="133" customWidth="1"/>
    <col min="5122" max="5122" width="34.08984375" style="133" customWidth="1"/>
    <col min="5123" max="5123" width="18.08984375" style="133" customWidth="1"/>
    <col min="5124" max="5124" width="18.6328125" style="133" bestFit="1" customWidth="1"/>
    <col min="5125" max="5127" width="18.08984375" style="133" customWidth="1"/>
    <col min="5128" max="5128" width="12" style="133" customWidth="1"/>
    <col min="5129" max="5129" width="16.08984375" style="133" customWidth="1"/>
    <col min="5130" max="5376" width="8.81640625" style="133"/>
    <col min="5377" max="5377" width="6" style="133" customWidth="1"/>
    <col min="5378" max="5378" width="34.08984375" style="133" customWidth="1"/>
    <col min="5379" max="5379" width="18.08984375" style="133" customWidth="1"/>
    <col min="5380" max="5380" width="18.6328125" style="133" bestFit="1" customWidth="1"/>
    <col min="5381" max="5383" width="18.08984375" style="133" customWidth="1"/>
    <col min="5384" max="5384" width="12" style="133" customWidth="1"/>
    <col min="5385" max="5385" width="16.08984375" style="133" customWidth="1"/>
    <col min="5386" max="5632" width="8.81640625" style="133"/>
    <col min="5633" max="5633" width="6" style="133" customWidth="1"/>
    <col min="5634" max="5634" width="34.08984375" style="133" customWidth="1"/>
    <col min="5635" max="5635" width="18.08984375" style="133" customWidth="1"/>
    <col min="5636" max="5636" width="18.6328125" style="133" bestFit="1" customWidth="1"/>
    <col min="5637" max="5639" width="18.08984375" style="133" customWidth="1"/>
    <col min="5640" max="5640" width="12" style="133" customWidth="1"/>
    <col min="5641" max="5641" width="16.08984375" style="133" customWidth="1"/>
    <col min="5642" max="5888" width="8.81640625" style="133"/>
    <col min="5889" max="5889" width="6" style="133" customWidth="1"/>
    <col min="5890" max="5890" width="34.08984375" style="133" customWidth="1"/>
    <col min="5891" max="5891" width="18.08984375" style="133" customWidth="1"/>
    <col min="5892" max="5892" width="18.6328125" style="133" bestFit="1" customWidth="1"/>
    <col min="5893" max="5895" width="18.08984375" style="133" customWidth="1"/>
    <col min="5896" max="5896" width="12" style="133" customWidth="1"/>
    <col min="5897" max="5897" width="16.08984375" style="133" customWidth="1"/>
    <col min="5898" max="6144" width="8.81640625" style="133"/>
    <col min="6145" max="6145" width="6" style="133" customWidth="1"/>
    <col min="6146" max="6146" width="34.08984375" style="133" customWidth="1"/>
    <col min="6147" max="6147" width="18.08984375" style="133" customWidth="1"/>
    <col min="6148" max="6148" width="18.6328125" style="133" bestFit="1" customWidth="1"/>
    <col min="6149" max="6151" width="18.08984375" style="133" customWidth="1"/>
    <col min="6152" max="6152" width="12" style="133" customWidth="1"/>
    <col min="6153" max="6153" width="16.08984375" style="133" customWidth="1"/>
    <col min="6154" max="6400" width="8.81640625" style="133"/>
    <col min="6401" max="6401" width="6" style="133" customWidth="1"/>
    <col min="6402" max="6402" width="34.08984375" style="133" customWidth="1"/>
    <col min="6403" max="6403" width="18.08984375" style="133" customWidth="1"/>
    <col min="6404" max="6404" width="18.6328125" style="133" bestFit="1" customWidth="1"/>
    <col min="6405" max="6407" width="18.08984375" style="133" customWidth="1"/>
    <col min="6408" max="6408" width="12" style="133" customWidth="1"/>
    <col min="6409" max="6409" width="16.08984375" style="133" customWidth="1"/>
    <col min="6410" max="6656" width="8.81640625" style="133"/>
    <col min="6657" max="6657" width="6" style="133" customWidth="1"/>
    <col min="6658" max="6658" width="34.08984375" style="133" customWidth="1"/>
    <col min="6659" max="6659" width="18.08984375" style="133" customWidth="1"/>
    <col min="6660" max="6660" width="18.6328125" style="133" bestFit="1" customWidth="1"/>
    <col min="6661" max="6663" width="18.08984375" style="133" customWidth="1"/>
    <col min="6664" max="6664" width="12" style="133" customWidth="1"/>
    <col min="6665" max="6665" width="16.08984375" style="133" customWidth="1"/>
    <col min="6666" max="6912" width="8.81640625" style="133"/>
    <col min="6913" max="6913" width="6" style="133" customWidth="1"/>
    <col min="6914" max="6914" width="34.08984375" style="133" customWidth="1"/>
    <col min="6915" max="6915" width="18.08984375" style="133" customWidth="1"/>
    <col min="6916" max="6916" width="18.6328125" style="133" bestFit="1" customWidth="1"/>
    <col min="6917" max="6919" width="18.08984375" style="133" customWidth="1"/>
    <col min="6920" max="6920" width="12" style="133" customWidth="1"/>
    <col min="6921" max="6921" width="16.08984375" style="133" customWidth="1"/>
    <col min="6922" max="7168" width="8.81640625" style="133"/>
    <col min="7169" max="7169" width="6" style="133" customWidth="1"/>
    <col min="7170" max="7170" width="34.08984375" style="133" customWidth="1"/>
    <col min="7171" max="7171" width="18.08984375" style="133" customWidth="1"/>
    <col min="7172" max="7172" width="18.6328125" style="133" bestFit="1" customWidth="1"/>
    <col min="7173" max="7175" width="18.08984375" style="133" customWidth="1"/>
    <col min="7176" max="7176" width="12" style="133" customWidth="1"/>
    <col min="7177" max="7177" width="16.08984375" style="133" customWidth="1"/>
    <col min="7178" max="7424" width="8.81640625" style="133"/>
    <col min="7425" max="7425" width="6" style="133" customWidth="1"/>
    <col min="7426" max="7426" width="34.08984375" style="133" customWidth="1"/>
    <col min="7427" max="7427" width="18.08984375" style="133" customWidth="1"/>
    <col min="7428" max="7428" width="18.6328125" style="133" bestFit="1" customWidth="1"/>
    <col min="7429" max="7431" width="18.08984375" style="133" customWidth="1"/>
    <col min="7432" max="7432" width="12" style="133" customWidth="1"/>
    <col min="7433" max="7433" width="16.08984375" style="133" customWidth="1"/>
    <col min="7434" max="7680" width="8.81640625" style="133"/>
    <col min="7681" max="7681" width="6" style="133" customWidth="1"/>
    <col min="7682" max="7682" width="34.08984375" style="133" customWidth="1"/>
    <col min="7683" max="7683" width="18.08984375" style="133" customWidth="1"/>
    <col min="7684" max="7684" width="18.6328125" style="133" bestFit="1" customWidth="1"/>
    <col min="7685" max="7687" width="18.08984375" style="133" customWidth="1"/>
    <col min="7688" max="7688" width="12" style="133" customWidth="1"/>
    <col min="7689" max="7689" width="16.08984375" style="133" customWidth="1"/>
    <col min="7690" max="7936" width="8.81640625" style="133"/>
    <col min="7937" max="7937" width="6" style="133" customWidth="1"/>
    <col min="7938" max="7938" width="34.08984375" style="133" customWidth="1"/>
    <col min="7939" max="7939" width="18.08984375" style="133" customWidth="1"/>
    <col min="7940" max="7940" width="18.6328125" style="133" bestFit="1" customWidth="1"/>
    <col min="7941" max="7943" width="18.08984375" style="133" customWidth="1"/>
    <col min="7944" max="7944" width="12" style="133" customWidth="1"/>
    <col min="7945" max="7945" width="16.08984375" style="133" customWidth="1"/>
    <col min="7946" max="8192" width="8.81640625" style="133"/>
    <col min="8193" max="8193" width="6" style="133" customWidth="1"/>
    <col min="8194" max="8194" width="34.08984375" style="133" customWidth="1"/>
    <col min="8195" max="8195" width="18.08984375" style="133" customWidth="1"/>
    <col min="8196" max="8196" width="18.6328125" style="133" bestFit="1" customWidth="1"/>
    <col min="8197" max="8199" width="18.08984375" style="133" customWidth="1"/>
    <col min="8200" max="8200" width="12" style="133" customWidth="1"/>
    <col min="8201" max="8201" width="16.08984375" style="133" customWidth="1"/>
    <col min="8202" max="8448" width="8.81640625" style="133"/>
    <col min="8449" max="8449" width="6" style="133" customWidth="1"/>
    <col min="8450" max="8450" width="34.08984375" style="133" customWidth="1"/>
    <col min="8451" max="8451" width="18.08984375" style="133" customWidth="1"/>
    <col min="8452" max="8452" width="18.6328125" style="133" bestFit="1" customWidth="1"/>
    <col min="8453" max="8455" width="18.08984375" style="133" customWidth="1"/>
    <col min="8456" max="8456" width="12" style="133" customWidth="1"/>
    <col min="8457" max="8457" width="16.08984375" style="133" customWidth="1"/>
    <col min="8458" max="8704" width="8.81640625" style="133"/>
    <col min="8705" max="8705" width="6" style="133" customWidth="1"/>
    <col min="8706" max="8706" width="34.08984375" style="133" customWidth="1"/>
    <col min="8707" max="8707" width="18.08984375" style="133" customWidth="1"/>
    <col min="8708" max="8708" width="18.6328125" style="133" bestFit="1" customWidth="1"/>
    <col min="8709" max="8711" width="18.08984375" style="133" customWidth="1"/>
    <col min="8712" max="8712" width="12" style="133" customWidth="1"/>
    <col min="8713" max="8713" width="16.08984375" style="133" customWidth="1"/>
    <col min="8714" max="8960" width="8.81640625" style="133"/>
    <col min="8961" max="8961" width="6" style="133" customWidth="1"/>
    <col min="8962" max="8962" width="34.08984375" style="133" customWidth="1"/>
    <col min="8963" max="8963" width="18.08984375" style="133" customWidth="1"/>
    <col min="8964" max="8964" width="18.6328125" style="133" bestFit="1" customWidth="1"/>
    <col min="8965" max="8967" width="18.08984375" style="133" customWidth="1"/>
    <col min="8968" max="8968" width="12" style="133" customWidth="1"/>
    <col min="8969" max="8969" width="16.08984375" style="133" customWidth="1"/>
    <col min="8970" max="9216" width="8.81640625" style="133"/>
    <col min="9217" max="9217" width="6" style="133" customWidth="1"/>
    <col min="9218" max="9218" width="34.08984375" style="133" customWidth="1"/>
    <col min="9219" max="9219" width="18.08984375" style="133" customWidth="1"/>
    <col min="9220" max="9220" width="18.6328125" style="133" bestFit="1" customWidth="1"/>
    <col min="9221" max="9223" width="18.08984375" style="133" customWidth="1"/>
    <col min="9224" max="9224" width="12" style="133" customWidth="1"/>
    <col min="9225" max="9225" width="16.08984375" style="133" customWidth="1"/>
    <col min="9226" max="9472" width="8.81640625" style="133"/>
    <col min="9473" max="9473" width="6" style="133" customWidth="1"/>
    <col min="9474" max="9474" width="34.08984375" style="133" customWidth="1"/>
    <col min="9475" max="9475" width="18.08984375" style="133" customWidth="1"/>
    <col min="9476" max="9476" width="18.6328125" style="133" bestFit="1" customWidth="1"/>
    <col min="9477" max="9479" width="18.08984375" style="133" customWidth="1"/>
    <col min="9480" max="9480" width="12" style="133" customWidth="1"/>
    <col min="9481" max="9481" width="16.08984375" style="133" customWidth="1"/>
    <col min="9482" max="9728" width="8.81640625" style="133"/>
    <col min="9729" max="9729" width="6" style="133" customWidth="1"/>
    <col min="9730" max="9730" width="34.08984375" style="133" customWidth="1"/>
    <col min="9731" max="9731" width="18.08984375" style="133" customWidth="1"/>
    <col min="9732" max="9732" width="18.6328125" style="133" bestFit="1" customWidth="1"/>
    <col min="9733" max="9735" width="18.08984375" style="133" customWidth="1"/>
    <col min="9736" max="9736" width="12" style="133" customWidth="1"/>
    <col min="9737" max="9737" width="16.08984375" style="133" customWidth="1"/>
    <col min="9738" max="9984" width="8.81640625" style="133"/>
    <col min="9985" max="9985" width="6" style="133" customWidth="1"/>
    <col min="9986" max="9986" width="34.08984375" style="133" customWidth="1"/>
    <col min="9987" max="9987" width="18.08984375" style="133" customWidth="1"/>
    <col min="9988" max="9988" width="18.6328125" style="133" bestFit="1" customWidth="1"/>
    <col min="9989" max="9991" width="18.08984375" style="133" customWidth="1"/>
    <col min="9992" max="9992" width="12" style="133" customWidth="1"/>
    <col min="9993" max="9993" width="16.08984375" style="133" customWidth="1"/>
    <col min="9994" max="10240" width="8.81640625" style="133"/>
    <col min="10241" max="10241" width="6" style="133" customWidth="1"/>
    <col min="10242" max="10242" width="34.08984375" style="133" customWidth="1"/>
    <col min="10243" max="10243" width="18.08984375" style="133" customWidth="1"/>
    <col min="10244" max="10244" width="18.6328125" style="133" bestFit="1" customWidth="1"/>
    <col min="10245" max="10247" width="18.08984375" style="133" customWidth="1"/>
    <col min="10248" max="10248" width="12" style="133" customWidth="1"/>
    <col min="10249" max="10249" width="16.08984375" style="133" customWidth="1"/>
    <col min="10250" max="10496" width="8.81640625" style="133"/>
    <col min="10497" max="10497" width="6" style="133" customWidth="1"/>
    <col min="10498" max="10498" width="34.08984375" style="133" customWidth="1"/>
    <col min="10499" max="10499" width="18.08984375" style="133" customWidth="1"/>
    <col min="10500" max="10500" width="18.6328125" style="133" bestFit="1" customWidth="1"/>
    <col min="10501" max="10503" width="18.08984375" style="133" customWidth="1"/>
    <col min="10504" max="10504" width="12" style="133" customWidth="1"/>
    <col min="10505" max="10505" width="16.08984375" style="133" customWidth="1"/>
    <col min="10506" max="10752" width="8.81640625" style="133"/>
    <col min="10753" max="10753" width="6" style="133" customWidth="1"/>
    <col min="10754" max="10754" width="34.08984375" style="133" customWidth="1"/>
    <col min="10755" max="10755" width="18.08984375" style="133" customWidth="1"/>
    <col min="10756" max="10756" width="18.6328125" style="133" bestFit="1" customWidth="1"/>
    <col min="10757" max="10759" width="18.08984375" style="133" customWidth="1"/>
    <col min="10760" max="10760" width="12" style="133" customWidth="1"/>
    <col min="10761" max="10761" width="16.08984375" style="133" customWidth="1"/>
    <col min="10762" max="11008" width="8.81640625" style="133"/>
    <col min="11009" max="11009" width="6" style="133" customWidth="1"/>
    <col min="11010" max="11010" width="34.08984375" style="133" customWidth="1"/>
    <col min="11011" max="11011" width="18.08984375" style="133" customWidth="1"/>
    <col min="11012" max="11012" width="18.6328125" style="133" bestFit="1" customWidth="1"/>
    <col min="11013" max="11015" width="18.08984375" style="133" customWidth="1"/>
    <col min="11016" max="11016" width="12" style="133" customWidth="1"/>
    <col min="11017" max="11017" width="16.08984375" style="133" customWidth="1"/>
    <col min="11018" max="11264" width="8.81640625" style="133"/>
    <col min="11265" max="11265" width="6" style="133" customWidth="1"/>
    <col min="11266" max="11266" width="34.08984375" style="133" customWidth="1"/>
    <col min="11267" max="11267" width="18.08984375" style="133" customWidth="1"/>
    <col min="11268" max="11268" width="18.6328125" style="133" bestFit="1" customWidth="1"/>
    <col min="11269" max="11271" width="18.08984375" style="133" customWidth="1"/>
    <col min="11272" max="11272" width="12" style="133" customWidth="1"/>
    <col min="11273" max="11273" width="16.08984375" style="133" customWidth="1"/>
    <col min="11274" max="11520" width="8.81640625" style="133"/>
    <col min="11521" max="11521" width="6" style="133" customWidth="1"/>
    <col min="11522" max="11522" width="34.08984375" style="133" customWidth="1"/>
    <col min="11523" max="11523" width="18.08984375" style="133" customWidth="1"/>
    <col min="11524" max="11524" width="18.6328125" style="133" bestFit="1" customWidth="1"/>
    <col min="11525" max="11527" width="18.08984375" style="133" customWidth="1"/>
    <col min="11528" max="11528" width="12" style="133" customWidth="1"/>
    <col min="11529" max="11529" width="16.08984375" style="133" customWidth="1"/>
    <col min="11530" max="11776" width="8.81640625" style="133"/>
    <col min="11777" max="11777" width="6" style="133" customWidth="1"/>
    <col min="11778" max="11778" width="34.08984375" style="133" customWidth="1"/>
    <col min="11779" max="11779" width="18.08984375" style="133" customWidth="1"/>
    <col min="11780" max="11780" width="18.6328125" style="133" bestFit="1" customWidth="1"/>
    <col min="11781" max="11783" width="18.08984375" style="133" customWidth="1"/>
    <col min="11784" max="11784" width="12" style="133" customWidth="1"/>
    <col min="11785" max="11785" width="16.08984375" style="133" customWidth="1"/>
    <col min="11786" max="12032" width="8.81640625" style="133"/>
    <col min="12033" max="12033" width="6" style="133" customWidth="1"/>
    <col min="12034" max="12034" width="34.08984375" style="133" customWidth="1"/>
    <col min="12035" max="12035" width="18.08984375" style="133" customWidth="1"/>
    <col min="12036" max="12036" width="18.6328125" style="133" bestFit="1" customWidth="1"/>
    <col min="12037" max="12039" width="18.08984375" style="133" customWidth="1"/>
    <col min="12040" max="12040" width="12" style="133" customWidth="1"/>
    <col min="12041" max="12041" width="16.08984375" style="133" customWidth="1"/>
    <col min="12042" max="12288" width="8.81640625" style="133"/>
    <col min="12289" max="12289" width="6" style="133" customWidth="1"/>
    <col min="12290" max="12290" width="34.08984375" style="133" customWidth="1"/>
    <col min="12291" max="12291" width="18.08984375" style="133" customWidth="1"/>
    <col min="12292" max="12292" width="18.6328125" style="133" bestFit="1" customWidth="1"/>
    <col min="12293" max="12295" width="18.08984375" style="133" customWidth="1"/>
    <col min="12296" max="12296" width="12" style="133" customWidth="1"/>
    <col min="12297" max="12297" width="16.08984375" style="133" customWidth="1"/>
    <col min="12298" max="12544" width="8.81640625" style="133"/>
    <col min="12545" max="12545" width="6" style="133" customWidth="1"/>
    <col min="12546" max="12546" width="34.08984375" style="133" customWidth="1"/>
    <col min="12547" max="12547" width="18.08984375" style="133" customWidth="1"/>
    <col min="12548" max="12548" width="18.6328125" style="133" bestFit="1" customWidth="1"/>
    <col min="12549" max="12551" width="18.08984375" style="133" customWidth="1"/>
    <col min="12552" max="12552" width="12" style="133" customWidth="1"/>
    <col min="12553" max="12553" width="16.08984375" style="133" customWidth="1"/>
    <col min="12554" max="12800" width="8.81640625" style="133"/>
    <col min="12801" max="12801" width="6" style="133" customWidth="1"/>
    <col min="12802" max="12802" width="34.08984375" style="133" customWidth="1"/>
    <col min="12803" max="12803" width="18.08984375" style="133" customWidth="1"/>
    <col min="12804" max="12804" width="18.6328125" style="133" bestFit="1" customWidth="1"/>
    <col min="12805" max="12807" width="18.08984375" style="133" customWidth="1"/>
    <col min="12808" max="12808" width="12" style="133" customWidth="1"/>
    <col min="12809" max="12809" width="16.08984375" style="133" customWidth="1"/>
    <col min="12810" max="13056" width="8.81640625" style="133"/>
    <col min="13057" max="13057" width="6" style="133" customWidth="1"/>
    <col min="13058" max="13058" width="34.08984375" style="133" customWidth="1"/>
    <col min="13059" max="13059" width="18.08984375" style="133" customWidth="1"/>
    <col min="13060" max="13060" width="18.6328125" style="133" bestFit="1" customWidth="1"/>
    <col min="13061" max="13063" width="18.08984375" style="133" customWidth="1"/>
    <col min="13064" max="13064" width="12" style="133" customWidth="1"/>
    <col min="13065" max="13065" width="16.08984375" style="133" customWidth="1"/>
    <col min="13066" max="13312" width="8.81640625" style="133"/>
    <col min="13313" max="13313" width="6" style="133" customWidth="1"/>
    <col min="13314" max="13314" width="34.08984375" style="133" customWidth="1"/>
    <col min="13315" max="13315" width="18.08984375" style="133" customWidth="1"/>
    <col min="13316" max="13316" width="18.6328125" style="133" bestFit="1" customWidth="1"/>
    <col min="13317" max="13319" width="18.08984375" style="133" customWidth="1"/>
    <col min="13320" max="13320" width="12" style="133" customWidth="1"/>
    <col min="13321" max="13321" width="16.08984375" style="133" customWidth="1"/>
    <col min="13322" max="13568" width="8.81640625" style="133"/>
    <col min="13569" max="13569" width="6" style="133" customWidth="1"/>
    <col min="13570" max="13570" width="34.08984375" style="133" customWidth="1"/>
    <col min="13571" max="13571" width="18.08984375" style="133" customWidth="1"/>
    <col min="13572" max="13572" width="18.6328125" style="133" bestFit="1" customWidth="1"/>
    <col min="13573" max="13575" width="18.08984375" style="133" customWidth="1"/>
    <col min="13576" max="13576" width="12" style="133" customWidth="1"/>
    <col min="13577" max="13577" width="16.08984375" style="133" customWidth="1"/>
    <col min="13578" max="13824" width="8.81640625" style="133"/>
    <col min="13825" max="13825" width="6" style="133" customWidth="1"/>
    <col min="13826" max="13826" width="34.08984375" style="133" customWidth="1"/>
    <col min="13827" max="13827" width="18.08984375" style="133" customWidth="1"/>
    <col min="13828" max="13828" width="18.6328125" style="133" bestFit="1" customWidth="1"/>
    <col min="13829" max="13831" width="18.08984375" style="133" customWidth="1"/>
    <col min="13832" max="13832" width="12" style="133" customWidth="1"/>
    <col min="13833" max="13833" width="16.08984375" style="133" customWidth="1"/>
    <col min="13834" max="14080" width="8.81640625" style="133"/>
    <col min="14081" max="14081" width="6" style="133" customWidth="1"/>
    <col min="14082" max="14082" width="34.08984375" style="133" customWidth="1"/>
    <col min="14083" max="14083" width="18.08984375" style="133" customWidth="1"/>
    <col min="14084" max="14084" width="18.6328125" style="133" bestFit="1" customWidth="1"/>
    <col min="14085" max="14087" width="18.08984375" style="133" customWidth="1"/>
    <col min="14088" max="14088" width="12" style="133" customWidth="1"/>
    <col min="14089" max="14089" width="16.08984375" style="133" customWidth="1"/>
    <col min="14090" max="14336" width="8.81640625" style="133"/>
    <col min="14337" max="14337" width="6" style="133" customWidth="1"/>
    <col min="14338" max="14338" width="34.08984375" style="133" customWidth="1"/>
    <col min="14339" max="14339" width="18.08984375" style="133" customWidth="1"/>
    <col min="14340" max="14340" width="18.6328125" style="133" bestFit="1" customWidth="1"/>
    <col min="14341" max="14343" width="18.08984375" style="133" customWidth="1"/>
    <col min="14344" max="14344" width="12" style="133" customWidth="1"/>
    <col min="14345" max="14345" width="16.08984375" style="133" customWidth="1"/>
    <col min="14346" max="14592" width="8.81640625" style="133"/>
    <col min="14593" max="14593" width="6" style="133" customWidth="1"/>
    <col min="14594" max="14594" width="34.08984375" style="133" customWidth="1"/>
    <col min="14595" max="14595" width="18.08984375" style="133" customWidth="1"/>
    <col min="14596" max="14596" width="18.6328125" style="133" bestFit="1" customWidth="1"/>
    <col min="14597" max="14599" width="18.08984375" style="133" customWidth="1"/>
    <col min="14600" max="14600" width="12" style="133" customWidth="1"/>
    <col min="14601" max="14601" width="16.08984375" style="133" customWidth="1"/>
    <col min="14602" max="14848" width="8.81640625" style="133"/>
    <col min="14849" max="14849" width="6" style="133" customWidth="1"/>
    <col min="14850" max="14850" width="34.08984375" style="133" customWidth="1"/>
    <col min="14851" max="14851" width="18.08984375" style="133" customWidth="1"/>
    <col min="14852" max="14852" width="18.6328125" style="133" bestFit="1" customWidth="1"/>
    <col min="14853" max="14855" width="18.08984375" style="133" customWidth="1"/>
    <col min="14856" max="14856" width="12" style="133" customWidth="1"/>
    <col min="14857" max="14857" width="16.08984375" style="133" customWidth="1"/>
    <col min="14858" max="15104" width="8.81640625" style="133"/>
    <col min="15105" max="15105" width="6" style="133" customWidth="1"/>
    <col min="15106" max="15106" width="34.08984375" style="133" customWidth="1"/>
    <col min="15107" max="15107" width="18.08984375" style="133" customWidth="1"/>
    <col min="15108" max="15108" width="18.6328125" style="133" bestFit="1" customWidth="1"/>
    <col min="15109" max="15111" width="18.08984375" style="133" customWidth="1"/>
    <col min="15112" max="15112" width="12" style="133" customWidth="1"/>
    <col min="15113" max="15113" width="16.08984375" style="133" customWidth="1"/>
    <col min="15114" max="15360" width="8.81640625" style="133"/>
    <col min="15361" max="15361" width="6" style="133" customWidth="1"/>
    <col min="15362" max="15362" width="34.08984375" style="133" customWidth="1"/>
    <col min="15363" max="15363" width="18.08984375" style="133" customWidth="1"/>
    <col min="15364" max="15364" width="18.6328125" style="133" bestFit="1" customWidth="1"/>
    <col min="15365" max="15367" width="18.08984375" style="133" customWidth="1"/>
    <col min="15368" max="15368" width="12" style="133" customWidth="1"/>
    <col min="15369" max="15369" width="16.08984375" style="133" customWidth="1"/>
    <col min="15370" max="15616" width="8.81640625" style="133"/>
    <col min="15617" max="15617" width="6" style="133" customWidth="1"/>
    <col min="15618" max="15618" width="34.08984375" style="133" customWidth="1"/>
    <col min="15619" max="15619" width="18.08984375" style="133" customWidth="1"/>
    <col min="15620" max="15620" width="18.6328125" style="133" bestFit="1" customWidth="1"/>
    <col min="15621" max="15623" width="18.08984375" style="133" customWidth="1"/>
    <col min="15624" max="15624" width="12" style="133" customWidth="1"/>
    <col min="15625" max="15625" width="16.08984375" style="133" customWidth="1"/>
    <col min="15626" max="15872" width="8.81640625" style="133"/>
    <col min="15873" max="15873" width="6" style="133" customWidth="1"/>
    <col min="15874" max="15874" width="34.08984375" style="133" customWidth="1"/>
    <col min="15875" max="15875" width="18.08984375" style="133" customWidth="1"/>
    <col min="15876" max="15876" width="18.6328125" style="133" bestFit="1" customWidth="1"/>
    <col min="15877" max="15879" width="18.08984375" style="133" customWidth="1"/>
    <col min="15880" max="15880" width="12" style="133" customWidth="1"/>
    <col min="15881" max="15881" width="16.08984375" style="133" customWidth="1"/>
    <col min="15882" max="16128" width="8.81640625" style="133"/>
    <col min="16129" max="16129" width="6" style="133" customWidth="1"/>
    <col min="16130" max="16130" width="34.08984375" style="133" customWidth="1"/>
    <col min="16131" max="16131" width="18.08984375" style="133" customWidth="1"/>
    <col min="16132" max="16132" width="18.6328125" style="133" bestFit="1" customWidth="1"/>
    <col min="16133" max="16135" width="18.08984375" style="133" customWidth="1"/>
    <col min="16136" max="16136" width="12" style="133" customWidth="1"/>
    <col min="16137" max="16137" width="16.08984375" style="133" customWidth="1"/>
    <col min="16138" max="16384" width="8.81640625" style="133"/>
  </cols>
  <sheetData>
    <row r="1" spans="2:10" ht="26">
      <c r="C1" s="176"/>
      <c r="D1" s="176" t="s">
        <v>587</v>
      </c>
      <c r="E1" s="176"/>
      <c r="F1" s="176"/>
      <c r="G1" s="176"/>
    </row>
    <row r="2" spans="2:10" ht="21">
      <c r="B2" s="134"/>
      <c r="F2" s="173"/>
      <c r="G2" s="100"/>
    </row>
    <row r="3" spans="2:10" ht="24.5" customHeight="1">
      <c r="C3" s="177" t="s">
        <v>590</v>
      </c>
      <c r="D3" s="177" t="s">
        <v>588</v>
      </c>
      <c r="E3" s="177" t="s">
        <v>589</v>
      </c>
      <c r="F3" s="177" t="s">
        <v>1243</v>
      </c>
      <c r="G3" s="177" t="s">
        <v>1244</v>
      </c>
      <c r="H3" s="177" t="s">
        <v>591</v>
      </c>
    </row>
    <row r="4" spans="2:10" ht="13.5" customHeight="1">
      <c r="C4" s="136">
        <f>H4/D4</f>
        <v>6108688.711491935</v>
      </c>
      <c r="D4" s="136">
        <f>SUBTOTAL(3,D7:D502)</f>
        <v>496</v>
      </c>
      <c r="E4" s="136">
        <f>H4/G4</f>
        <v>109831.06538949504</v>
      </c>
      <c r="F4" s="136">
        <f>SUBTOTAL(9,F7:F502)</f>
        <v>26377</v>
      </c>
      <c r="G4" s="136">
        <f>SUBTOTAL(9,G7:G502)</f>
        <v>27587</v>
      </c>
      <c r="H4" s="136">
        <f>SUBTOTAL(9,H7:H502)</f>
        <v>3029909600.8999996</v>
      </c>
    </row>
    <row r="5" spans="2:10" ht="9" customHeight="1">
      <c r="B5"/>
      <c r="C5"/>
      <c r="D5"/>
      <c r="E5"/>
      <c r="F5" s="174"/>
      <c r="G5"/>
    </row>
    <row r="6" spans="2:10" ht="22" customHeight="1">
      <c r="B6" s="137" t="s">
        <v>722</v>
      </c>
      <c r="C6" s="137" t="s">
        <v>724</v>
      </c>
      <c r="D6" s="137" t="s">
        <v>566</v>
      </c>
      <c r="E6" s="137" t="s">
        <v>723</v>
      </c>
      <c r="F6" s="138" t="s">
        <v>725</v>
      </c>
      <c r="G6" s="137" t="s">
        <v>726</v>
      </c>
      <c r="H6" s="172" t="s">
        <v>727</v>
      </c>
      <c r="I6" s="154"/>
      <c r="J6" s="155"/>
    </row>
    <row r="7" spans="2:10">
      <c r="B7" s="139" t="s">
        <v>164</v>
      </c>
      <c r="C7" s="140" t="s">
        <v>547</v>
      </c>
      <c r="D7" s="175" t="s">
        <v>139</v>
      </c>
      <c r="E7" s="141" t="s">
        <v>728</v>
      </c>
      <c r="F7" s="140">
        <v>55</v>
      </c>
      <c r="G7" s="140">
        <v>59</v>
      </c>
      <c r="H7" s="178">
        <v>1890038.78</v>
      </c>
      <c r="I7" s="154"/>
      <c r="J7" s="155"/>
    </row>
    <row r="8" spans="2:10">
      <c r="B8" s="139" t="s">
        <v>165</v>
      </c>
      <c r="C8" s="140" t="s">
        <v>547</v>
      </c>
      <c r="D8" s="175" t="s">
        <v>116</v>
      </c>
      <c r="E8" s="141" t="s">
        <v>729</v>
      </c>
      <c r="F8" s="140">
        <v>77</v>
      </c>
      <c r="G8" s="140">
        <v>77</v>
      </c>
      <c r="H8" s="179">
        <v>2875079.66</v>
      </c>
      <c r="I8" s="154"/>
      <c r="J8" s="155"/>
    </row>
    <row r="9" spans="2:10">
      <c r="B9" s="139" t="s">
        <v>166</v>
      </c>
      <c r="C9" s="140" t="s">
        <v>549</v>
      </c>
      <c r="D9" s="175" t="s">
        <v>109</v>
      </c>
      <c r="E9" s="141" t="s">
        <v>730</v>
      </c>
      <c r="F9" s="140">
        <v>50</v>
      </c>
      <c r="G9" s="140">
        <v>65</v>
      </c>
      <c r="H9" s="179">
        <v>4263030.34</v>
      </c>
      <c r="I9" s="154"/>
      <c r="J9" s="155"/>
    </row>
    <row r="10" spans="2:10">
      <c r="B10" s="139" t="s">
        <v>167</v>
      </c>
      <c r="C10" s="140" t="s">
        <v>549</v>
      </c>
      <c r="D10" s="175" t="s">
        <v>116</v>
      </c>
      <c r="E10" s="141" t="s">
        <v>731</v>
      </c>
      <c r="F10" s="140">
        <v>24</v>
      </c>
      <c r="G10" s="140">
        <v>24</v>
      </c>
      <c r="H10" s="179">
        <v>2214464.39</v>
      </c>
      <c r="I10" s="154"/>
      <c r="J10" s="155"/>
    </row>
    <row r="11" spans="2:10">
      <c r="B11" s="139" t="s">
        <v>168</v>
      </c>
      <c r="C11" s="140" t="s">
        <v>547</v>
      </c>
      <c r="D11" s="175" t="s">
        <v>28</v>
      </c>
      <c r="E11" s="141" t="s">
        <v>732</v>
      </c>
      <c r="F11" s="140">
        <v>35</v>
      </c>
      <c r="G11" s="140">
        <v>35</v>
      </c>
      <c r="H11" s="179">
        <v>2558042.1</v>
      </c>
      <c r="I11" s="154"/>
      <c r="J11" s="155"/>
    </row>
    <row r="12" spans="2:10">
      <c r="B12" s="139" t="s">
        <v>169</v>
      </c>
      <c r="C12" s="140" t="s">
        <v>549</v>
      </c>
      <c r="D12" s="175" t="s">
        <v>115</v>
      </c>
      <c r="E12" s="141" t="s">
        <v>733</v>
      </c>
      <c r="F12" s="140">
        <v>100</v>
      </c>
      <c r="G12" s="140">
        <v>100</v>
      </c>
      <c r="H12" s="179">
        <v>13992460.039999999</v>
      </c>
      <c r="I12" s="154"/>
      <c r="J12" s="155"/>
    </row>
    <row r="13" spans="2:10">
      <c r="B13" s="139" t="s">
        <v>170</v>
      </c>
      <c r="C13" s="140" t="s">
        <v>547</v>
      </c>
      <c r="D13" s="175" t="s">
        <v>120</v>
      </c>
      <c r="E13" s="141" t="s">
        <v>734</v>
      </c>
      <c r="F13" s="140">
        <v>37</v>
      </c>
      <c r="G13" s="140">
        <v>37</v>
      </c>
      <c r="H13" s="179">
        <v>1812174.32</v>
      </c>
      <c r="I13" s="154"/>
      <c r="J13" s="155"/>
    </row>
    <row r="14" spans="2:10">
      <c r="B14" s="139" t="s">
        <v>602</v>
      </c>
      <c r="C14" s="140" t="s">
        <v>547</v>
      </c>
      <c r="D14" s="175" t="s">
        <v>120</v>
      </c>
      <c r="E14" s="141" t="s">
        <v>735</v>
      </c>
      <c r="F14" s="140">
        <v>58</v>
      </c>
      <c r="G14" s="140">
        <v>58</v>
      </c>
      <c r="H14" s="179">
        <v>4306760.4800000004</v>
      </c>
      <c r="I14" s="154"/>
      <c r="J14" s="155"/>
    </row>
    <row r="15" spans="2:10">
      <c r="B15" s="139" t="s">
        <v>171</v>
      </c>
      <c r="C15" s="140" t="s">
        <v>547</v>
      </c>
      <c r="D15" s="175" t="s">
        <v>120</v>
      </c>
      <c r="E15" s="141" t="s">
        <v>736</v>
      </c>
      <c r="F15" s="140">
        <v>83</v>
      </c>
      <c r="G15" s="140">
        <v>83</v>
      </c>
      <c r="H15" s="179">
        <v>4557470.63</v>
      </c>
      <c r="I15" s="154"/>
      <c r="J15" s="155"/>
    </row>
    <row r="16" spans="2:10">
      <c r="B16" s="139" t="s">
        <v>172</v>
      </c>
      <c r="C16" s="140" t="s">
        <v>549</v>
      </c>
      <c r="D16" s="175" t="s">
        <v>105</v>
      </c>
      <c r="E16" s="141" t="s">
        <v>737</v>
      </c>
      <c r="F16" s="140">
        <v>42</v>
      </c>
      <c r="G16" s="140">
        <v>42</v>
      </c>
      <c r="H16" s="179">
        <v>1537922.71</v>
      </c>
      <c r="I16" s="154"/>
      <c r="J16" s="155"/>
    </row>
    <row r="17" spans="2:10">
      <c r="B17" s="139" t="s">
        <v>173</v>
      </c>
      <c r="C17" s="140" t="s">
        <v>547</v>
      </c>
      <c r="D17" s="175" t="s">
        <v>107</v>
      </c>
      <c r="E17" s="141" t="s">
        <v>738</v>
      </c>
      <c r="F17" s="140">
        <v>80</v>
      </c>
      <c r="G17" s="140">
        <v>80</v>
      </c>
      <c r="H17" s="179">
        <v>8360126.8700000001</v>
      </c>
      <c r="I17" s="154"/>
      <c r="J17" s="155"/>
    </row>
    <row r="18" spans="2:10">
      <c r="B18" s="139" t="s">
        <v>175</v>
      </c>
      <c r="C18" s="140" t="s">
        <v>547</v>
      </c>
      <c r="D18" s="175" t="s">
        <v>148</v>
      </c>
      <c r="E18" s="141" t="s">
        <v>739</v>
      </c>
      <c r="F18" s="140">
        <v>34</v>
      </c>
      <c r="G18" s="140">
        <v>34</v>
      </c>
      <c r="H18" s="179">
        <v>567282.28</v>
      </c>
      <c r="I18" s="154"/>
      <c r="J18" s="155"/>
    </row>
    <row r="19" spans="2:10">
      <c r="B19" s="139" t="s">
        <v>603</v>
      </c>
      <c r="C19" s="140" t="s">
        <v>547</v>
      </c>
      <c r="D19" s="175" t="s">
        <v>161</v>
      </c>
      <c r="E19" s="141" t="s">
        <v>740</v>
      </c>
      <c r="F19" s="140">
        <v>55</v>
      </c>
      <c r="G19" s="140">
        <v>55</v>
      </c>
      <c r="H19" s="179">
        <v>4942326.59</v>
      </c>
      <c r="I19" s="154"/>
      <c r="J19" s="155"/>
    </row>
    <row r="20" spans="2:10">
      <c r="B20" s="139" t="s">
        <v>176</v>
      </c>
      <c r="C20" s="140" t="s">
        <v>549</v>
      </c>
      <c r="D20" s="175" t="s">
        <v>130</v>
      </c>
      <c r="E20" s="141" t="s">
        <v>741</v>
      </c>
      <c r="F20" s="140">
        <v>50</v>
      </c>
      <c r="G20" s="140">
        <v>50</v>
      </c>
      <c r="H20" s="179">
        <v>9543368.5099999998</v>
      </c>
      <c r="I20" s="154"/>
      <c r="J20" s="155"/>
    </row>
    <row r="21" spans="2:10">
      <c r="B21" s="139" t="s">
        <v>177</v>
      </c>
      <c r="C21" s="140" t="s">
        <v>549</v>
      </c>
      <c r="D21" s="175" t="s">
        <v>108</v>
      </c>
      <c r="E21" s="141" t="s">
        <v>742</v>
      </c>
      <c r="F21" s="140">
        <v>23</v>
      </c>
      <c r="G21" s="140">
        <v>23</v>
      </c>
      <c r="H21" s="179">
        <v>1731356.91</v>
      </c>
      <c r="I21" s="154"/>
      <c r="J21" s="155"/>
    </row>
    <row r="22" spans="2:10">
      <c r="B22" s="139" t="s">
        <v>178</v>
      </c>
      <c r="C22" s="140" t="s">
        <v>547</v>
      </c>
      <c r="D22" s="175" t="s">
        <v>117</v>
      </c>
      <c r="E22" s="141" t="s">
        <v>743</v>
      </c>
      <c r="F22" s="140">
        <v>30</v>
      </c>
      <c r="G22" s="140">
        <v>30</v>
      </c>
      <c r="H22" s="179">
        <v>3557393.61</v>
      </c>
      <c r="I22" s="154"/>
      <c r="J22" s="155"/>
    </row>
    <row r="23" spans="2:10">
      <c r="B23" s="139" t="s">
        <v>179</v>
      </c>
      <c r="C23" s="140" t="s">
        <v>547</v>
      </c>
      <c r="D23" s="175" t="s">
        <v>138</v>
      </c>
      <c r="E23" s="141" t="s">
        <v>744</v>
      </c>
      <c r="F23" s="140">
        <v>30</v>
      </c>
      <c r="G23" s="140">
        <v>30</v>
      </c>
      <c r="H23" s="179">
        <v>1199897.31</v>
      </c>
      <c r="I23" s="154"/>
      <c r="J23" s="155"/>
    </row>
    <row r="24" spans="2:10">
      <c r="B24" s="139" t="s">
        <v>180</v>
      </c>
      <c r="C24" s="140" t="s">
        <v>547</v>
      </c>
      <c r="D24" s="175" t="s">
        <v>110</v>
      </c>
      <c r="E24" s="141" t="s">
        <v>745</v>
      </c>
      <c r="F24" s="140">
        <v>26</v>
      </c>
      <c r="G24" s="140">
        <v>26</v>
      </c>
      <c r="H24" s="179">
        <v>2433945.98</v>
      </c>
      <c r="I24" s="154"/>
      <c r="J24" s="155"/>
    </row>
    <row r="25" spans="2:10">
      <c r="B25" s="139" t="s">
        <v>181</v>
      </c>
      <c r="C25" s="140" t="s">
        <v>547</v>
      </c>
      <c r="D25" s="175" t="s">
        <v>110</v>
      </c>
      <c r="E25" s="141" t="s">
        <v>746</v>
      </c>
      <c r="F25" s="140">
        <v>15</v>
      </c>
      <c r="G25" s="140">
        <v>15</v>
      </c>
      <c r="H25" s="179">
        <v>947440.68</v>
      </c>
      <c r="I25" s="154"/>
      <c r="J25" s="155"/>
    </row>
    <row r="26" spans="2:10">
      <c r="B26" s="139" t="s">
        <v>604</v>
      </c>
      <c r="C26" s="140" t="s">
        <v>547</v>
      </c>
      <c r="D26" s="175" t="s">
        <v>110</v>
      </c>
      <c r="E26" s="141" t="s">
        <v>747</v>
      </c>
      <c r="F26" s="140">
        <v>51</v>
      </c>
      <c r="G26" s="140">
        <v>69</v>
      </c>
      <c r="H26" s="179">
        <v>7085808.79</v>
      </c>
      <c r="I26" s="154"/>
      <c r="J26" s="155"/>
    </row>
    <row r="27" spans="2:10">
      <c r="B27" s="139" t="s">
        <v>182</v>
      </c>
      <c r="C27" s="140" t="s">
        <v>549</v>
      </c>
      <c r="D27" s="175" t="s">
        <v>32</v>
      </c>
      <c r="E27" s="141" t="s">
        <v>748</v>
      </c>
      <c r="F27" s="140">
        <v>32</v>
      </c>
      <c r="G27" s="140">
        <v>32</v>
      </c>
      <c r="H27" s="179">
        <v>5259692.3099999996</v>
      </c>
      <c r="I27" s="154"/>
      <c r="J27" s="155"/>
    </row>
    <row r="28" spans="2:10">
      <c r="B28" s="139" t="s">
        <v>183</v>
      </c>
      <c r="C28" s="140" t="s">
        <v>549</v>
      </c>
      <c r="D28" s="175" t="s">
        <v>144</v>
      </c>
      <c r="E28" s="141" t="s">
        <v>749</v>
      </c>
      <c r="F28" s="140">
        <v>45</v>
      </c>
      <c r="G28" s="140">
        <v>45</v>
      </c>
      <c r="H28" s="179">
        <v>5510672.5999999996</v>
      </c>
      <c r="I28" s="154"/>
      <c r="J28" s="155"/>
    </row>
    <row r="29" spans="2:10">
      <c r="B29" s="139" t="s">
        <v>186</v>
      </c>
      <c r="C29" s="140" t="s">
        <v>547</v>
      </c>
      <c r="D29" s="175" t="s">
        <v>96</v>
      </c>
      <c r="E29" s="141" t="s">
        <v>750</v>
      </c>
      <c r="F29" s="140">
        <v>50</v>
      </c>
      <c r="G29" s="140">
        <v>50</v>
      </c>
      <c r="H29" s="179">
        <v>6097659.8300000001</v>
      </c>
      <c r="I29" s="154"/>
      <c r="J29" s="155"/>
    </row>
    <row r="30" spans="2:10">
      <c r="B30" s="139" t="s">
        <v>184</v>
      </c>
      <c r="C30" s="140" t="s">
        <v>547</v>
      </c>
      <c r="D30" s="175" t="s">
        <v>96</v>
      </c>
      <c r="E30" s="141" t="s">
        <v>751</v>
      </c>
      <c r="F30" s="140">
        <v>31</v>
      </c>
      <c r="G30" s="140">
        <v>34</v>
      </c>
      <c r="H30" s="179">
        <v>2895010.05</v>
      </c>
      <c r="I30" s="154"/>
      <c r="J30" s="155"/>
    </row>
    <row r="31" spans="2:10">
      <c r="B31" s="139" t="s">
        <v>185</v>
      </c>
      <c r="C31" s="140" t="s">
        <v>547</v>
      </c>
      <c r="D31" s="175" t="s">
        <v>96</v>
      </c>
      <c r="E31" s="141" t="s">
        <v>752</v>
      </c>
      <c r="F31" s="140">
        <v>54</v>
      </c>
      <c r="G31" s="140">
        <v>54</v>
      </c>
      <c r="H31" s="179">
        <v>3066943.61</v>
      </c>
      <c r="I31" s="154"/>
      <c r="J31" s="155"/>
    </row>
    <row r="32" spans="2:10">
      <c r="B32" s="139" t="s">
        <v>188</v>
      </c>
      <c r="C32" s="140" t="s">
        <v>549</v>
      </c>
      <c r="D32" s="175" t="s">
        <v>140</v>
      </c>
      <c r="E32" s="141" t="s">
        <v>753</v>
      </c>
      <c r="F32" s="140">
        <v>45</v>
      </c>
      <c r="G32" s="140">
        <v>45</v>
      </c>
      <c r="H32" s="179">
        <v>7241701.0999999996</v>
      </c>
      <c r="I32" s="154"/>
      <c r="J32" s="155"/>
    </row>
    <row r="33" spans="2:10">
      <c r="B33" s="139" t="s">
        <v>189</v>
      </c>
      <c r="C33" s="140" t="s">
        <v>549</v>
      </c>
      <c r="D33" s="175" t="s">
        <v>125</v>
      </c>
      <c r="E33" s="141" t="s">
        <v>754</v>
      </c>
      <c r="F33" s="140">
        <v>80</v>
      </c>
      <c r="G33" s="140">
        <v>105</v>
      </c>
      <c r="H33" s="179">
        <v>10879316.890000001</v>
      </c>
      <c r="I33" s="154"/>
      <c r="J33" s="155"/>
    </row>
    <row r="34" spans="2:10">
      <c r="B34" s="139" t="s">
        <v>191</v>
      </c>
      <c r="C34" s="140" t="s">
        <v>547</v>
      </c>
      <c r="D34" s="175" t="s">
        <v>117</v>
      </c>
      <c r="E34" s="141" t="s">
        <v>755</v>
      </c>
      <c r="F34" s="140">
        <v>28</v>
      </c>
      <c r="G34" s="140">
        <v>28</v>
      </c>
      <c r="H34" s="179">
        <v>557006.51</v>
      </c>
      <c r="I34" s="154"/>
      <c r="J34" s="155"/>
    </row>
    <row r="35" spans="2:10">
      <c r="B35" s="139" t="s">
        <v>190</v>
      </c>
      <c r="C35" s="140" t="s">
        <v>549</v>
      </c>
      <c r="D35" s="175" t="s">
        <v>144</v>
      </c>
      <c r="E35" s="141" t="s">
        <v>756</v>
      </c>
      <c r="F35" s="140">
        <v>40</v>
      </c>
      <c r="G35" s="140">
        <v>40</v>
      </c>
      <c r="H35" s="179">
        <v>3625066.68</v>
      </c>
      <c r="I35" s="154"/>
      <c r="J35" s="155"/>
    </row>
    <row r="36" spans="2:10">
      <c r="B36" s="139" t="s">
        <v>192</v>
      </c>
      <c r="C36" s="140" t="s">
        <v>547</v>
      </c>
      <c r="D36" s="175" t="s">
        <v>101</v>
      </c>
      <c r="E36" s="141" t="s">
        <v>757</v>
      </c>
      <c r="F36" s="140">
        <v>50</v>
      </c>
      <c r="G36" s="140">
        <v>50</v>
      </c>
      <c r="H36" s="179">
        <v>2717246.66</v>
      </c>
      <c r="I36" s="154"/>
      <c r="J36" s="155"/>
    </row>
    <row r="37" spans="2:10">
      <c r="B37" s="139" t="s">
        <v>193</v>
      </c>
      <c r="C37" s="140" t="s">
        <v>547</v>
      </c>
      <c r="D37" s="175" t="s">
        <v>101</v>
      </c>
      <c r="E37" s="141" t="s">
        <v>758</v>
      </c>
      <c r="F37" s="140">
        <v>25</v>
      </c>
      <c r="G37" s="140">
        <v>25</v>
      </c>
      <c r="H37" s="179">
        <v>1066587.3500000001</v>
      </c>
      <c r="I37" s="154"/>
      <c r="J37" s="155"/>
    </row>
    <row r="38" spans="2:10">
      <c r="B38" s="139" t="s">
        <v>606</v>
      </c>
      <c r="C38" s="140" t="s">
        <v>547</v>
      </c>
      <c r="D38" s="175" t="s">
        <v>115</v>
      </c>
      <c r="E38" s="141" t="s">
        <v>759</v>
      </c>
      <c r="F38" s="140">
        <v>93</v>
      </c>
      <c r="G38" s="140">
        <v>93</v>
      </c>
      <c r="H38" s="179">
        <v>9944643.6300000008</v>
      </c>
      <c r="I38" s="154"/>
      <c r="J38" s="155"/>
    </row>
    <row r="39" spans="2:10">
      <c r="B39" s="139" t="s">
        <v>194</v>
      </c>
      <c r="C39" s="140" t="s">
        <v>547</v>
      </c>
      <c r="D39" s="175" t="s">
        <v>115</v>
      </c>
      <c r="E39" s="141" t="s">
        <v>760</v>
      </c>
      <c r="F39" s="140">
        <v>105</v>
      </c>
      <c r="G39" s="140">
        <v>105</v>
      </c>
      <c r="H39" s="179">
        <v>6568954.0099999998</v>
      </c>
      <c r="I39" s="154"/>
      <c r="J39" s="155"/>
    </row>
    <row r="40" spans="2:10">
      <c r="B40" s="139" t="s">
        <v>607</v>
      </c>
      <c r="C40" s="140" t="s">
        <v>547</v>
      </c>
      <c r="D40" s="175" t="s">
        <v>112</v>
      </c>
      <c r="E40" s="141" t="s">
        <v>761</v>
      </c>
      <c r="F40" s="140">
        <v>90</v>
      </c>
      <c r="G40" s="140">
        <v>90</v>
      </c>
      <c r="H40" s="179">
        <v>9522348.4100000001</v>
      </c>
      <c r="I40" s="154"/>
      <c r="J40" s="155"/>
    </row>
    <row r="41" spans="2:10">
      <c r="B41" s="139" t="s">
        <v>196</v>
      </c>
      <c r="C41" s="140" t="s">
        <v>549</v>
      </c>
      <c r="D41" s="175" t="s">
        <v>107</v>
      </c>
      <c r="E41" s="141" t="s">
        <v>762</v>
      </c>
      <c r="F41" s="140">
        <v>63</v>
      </c>
      <c r="G41" s="140">
        <v>63</v>
      </c>
      <c r="H41" s="179">
        <v>8547406.1600000001</v>
      </c>
      <c r="I41" s="154"/>
      <c r="J41" s="155"/>
    </row>
    <row r="42" spans="2:10">
      <c r="B42" s="139" t="s">
        <v>197</v>
      </c>
      <c r="C42" s="140" t="s">
        <v>549</v>
      </c>
      <c r="D42" s="175" t="s">
        <v>107</v>
      </c>
      <c r="E42" s="141" t="s">
        <v>763</v>
      </c>
      <c r="F42" s="140">
        <v>105</v>
      </c>
      <c r="G42" s="140">
        <v>105</v>
      </c>
      <c r="H42" s="179">
        <v>23080739.07</v>
      </c>
      <c r="I42" s="154"/>
      <c r="J42" s="155"/>
    </row>
    <row r="43" spans="2:10">
      <c r="B43" s="139" t="s">
        <v>198</v>
      </c>
      <c r="C43" s="140" t="s">
        <v>549</v>
      </c>
      <c r="D43" s="175" t="s">
        <v>160</v>
      </c>
      <c r="E43" s="141" t="s">
        <v>764</v>
      </c>
      <c r="F43" s="140">
        <v>30</v>
      </c>
      <c r="G43" s="140">
        <v>30</v>
      </c>
      <c r="H43" s="179">
        <v>2148381.17</v>
      </c>
      <c r="I43" s="154"/>
      <c r="J43" s="155"/>
    </row>
    <row r="44" spans="2:10">
      <c r="B44" s="139" t="s">
        <v>199</v>
      </c>
      <c r="C44" s="140" t="s">
        <v>549</v>
      </c>
      <c r="D44" s="175" t="s">
        <v>31</v>
      </c>
      <c r="E44" s="141" t="s">
        <v>765</v>
      </c>
      <c r="F44" s="140">
        <v>66</v>
      </c>
      <c r="G44" s="140">
        <v>102</v>
      </c>
      <c r="H44" s="179">
        <v>8304637.6200000001</v>
      </c>
      <c r="I44" s="154"/>
      <c r="J44" s="155"/>
    </row>
    <row r="45" spans="2:10">
      <c r="B45" s="139" t="s">
        <v>200</v>
      </c>
      <c r="C45" s="140" t="s">
        <v>549</v>
      </c>
      <c r="D45" s="175" t="s">
        <v>160</v>
      </c>
      <c r="E45" s="141" t="s">
        <v>766</v>
      </c>
      <c r="F45" s="140">
        <v>40</v>
      </c>
      <c r="G45" s="140">
        <v>40</v>
      </c>
      <c r="H45" s="179">
        <v>2266817.86</v>
      </c>
      <c r="I45" s="154"/>
      <c r="J45" s="155"/>
    </row>
    <row r="46" spans="2:10">
      <c r="B46" s="139" t="s">
        <v>767</v>
      </c>
      <c r="C46" s="140" t="s">
        <v>549</v>
      </c>
      <c r="D46" s="175" t="s">
        <v>144</v>
      </c>
      <c r="E46" s="141" t="s">
        <v>768</v>
      </c>
      <c r="F46" s="140">
        <v>32</v>
      </c>
      <c r="G46" s="140">
        <v>32</v>
      </c>
      <c r="H46" s="179">
        <v>2141554.84</v>
      </c>
      <c r="I46" s="154"/>
      <c r="J46" s="155"/>
    </row>
    <row r="47" spans="2:10">
      <c r="B47" s="139" t="s">
        <v>201</v>
      </c>
      <c r="C47" s="140" t="s">
        <v>549</v>
      </c>
      <c r="D47" s="175" t="s">
        <v>96</v>
      </c>
      <c r="E47" s="141" t="s">
        <v>769</v>
      </c>
      <c r="F47" s="140">
        <v>40</v>
      </c>
      <c r="G47" s="140">
        <v>48</v>
      </c>
      <c r="H47" s="179">
        <v>7365316.54</v>
      </c>
      <c r="I47" s="154"/>
      <c r="J47" s="155"/>
    </row>
    <row r="48" spans="2:10">
      <c r="B48" s="139" t="s">
        <v>608</v>
      </c>
      <c r="C48" s="140" t="s">
        <v>549</v>
      </c>
      <c r="D48" s="175" t="s">
        <v>125</v>
      </c>
      <c r="E48" s="141" t="s">
        <v>770</v>
      </c>
      <c r="F48" s="140">
        <v>80</v>
      </c>
      <c r="G48" s="140">
        <v>80</v>
      </c>
      <c r="H48" s="179">
        <v>11029022.02</v>
      </c>
      <c r="I48" s="154"/>
      <c r="J48" s="155"/>
    </row>
    <row r="49" spans="2:10">
      <c r="B49" s="139" t="s">
        <v>202</v>
      </c>
      <c r="C49" s="140" t="s">
        <v>549</v>
      </c>
      <c r="D49" s="175" t="s">
        <v>112</v>
      </c>
      <c r="E49" s="141" t="s">
        <v>771</v>
      </c>
      <c r="F49" s="140">
        <v>75</v>
      </c>
      <c r="G49" s="140">
        <v>90</v>
      </c>
      <c r="H49" s="179">
        <v>8443747.5700000003</v>
      </c>
      <c r="I49" s="154"/>
      <c r="J49" s="155"/>
    </row>
    <row r="50" spans="2:10">
      <c r="B50" s="139" t="s">
        <v>203</v>
      </c>
      <c r="C50" s="140" t="s">
        <v>549</v>
      </c>
      <c r="D50" s="175" t="s">
        <v>132</v>
      </c>
      <c r="E50" s="141" t="s">
        <v>772</v>
      </c>
      <c r="F50" s="140">
        <v>99</v>
      </c>
      <c r="G50" s="140">
        <v>99</v>
      </c>
      <c r="H50" s="179">
        <v>16662250.49</v>
      </c>
      <c r="I50" s="154"/>
      <c r="J50" s="155"/>
    </row>
    <row r="51" spans="2:10">
      <c r="B51" s="139" t="s">
        <v>204</v>
      </c>
      <c r="C51" s="140" t="s">
        <v>547</v>
      </c>
      <c r="D51" s="175" t="s">
        <v>31</v>
      </c>
      <c r="E51" s="141" t="s">
        <v>773</v>
      </c>
      <c r="F51" s="140">
        <v>39</v>
      </c>
      <c r="G51" s="140">
        <v>39</v>
      </c>
      <c r="H51" s="179">
        <v>2947076.1</v>
      </c>
      <c r="I51" s="154"/>
      <c r="J51" s="155"/>
    </row>
    <row r="52" spans="2:10">
      <c r="B52" s="139" t="s">
        <v>609</v>
      </c>
      <c r="C52" s="140" t="s">
        <v>547</v>
      </c>
      <c r="D52" s="175" t="s">
        <v>31</v>
      </c>
      <c r="E52" s="141" t="s">
        <v>774</v>
      </c>
      <c r="F52" s="140">
        <v>103</v>
      </c>
      <c r="G52" s="140">
        <v>103</v>
      </c>
      <c r="H52" s="179">
        <v>11598683.02</v>
      </c>
      <c r="I52" s="154"/>
      <c r="J52" s="155"/>
    </row>
    <row r="53" spans="2:10">
      <c r="B53" s="139" t="s">
        <v>205</v>
      </c>
      <c r="C53" s="140" t="s">
        <v>549</v>
      </c>
      <c r="D53" s="175" t="s">
        <v>130</v>
      </c>
      <c r="E53" s="141" t="s">
        <v>775</v>
      </c>
      <c r="F53" s="140">
        <v>45</v>
      </c>
      <c r="G53" s="140">
        <v>45</v>
      </c>
      <c r="H53" s="179">
        <v>9598306.2799999993</v>
      </c>
      <c r="I53" s="154"/>
      <c r="J53" s="155"/>
    </row>
    <row r="54" spans="2:10">
      <c r="B54" s="139" t="s">
        <v>206</v>
      </c>
      <c r="C54" s="140" t="s">
        <v>549</v>
      </c>
      <c r="D54" s="175" t="s">
        <v>153</v>
      </c>
      <c r="E54" s="141" t="s">
        <v>776</v>
      </c>
      <c r="F54" s="140">
        <v>60</v>
      </c>
      <c r="G54" s="140">
        <v>60</v>
      </c>
      <c r="H54" s="179">
        <v>12730520.359999999</v>
      </c>
      <c r="I54" s="154"/>
      <c r="J54" s="155"/>
    </row>
    <row r="55" spans="2:10">
      <c r="B55" s="139" t="s">
        <v>600</v>
      </c>
      <c r="C55" s="140" t="s">
        <v>549</v>
      </c>
      <c r="D55" s="175" t="s">
        <v>100</v>
      </c>
      <c r="E55" s="141" t="s">
        <v>777</v>
      </c>
      <c r="F55" s="140">
        <v>48</v>
      </c>
      <c r="G55" s="140">
        <v>60</v>
      </c>
      <c r="H55" s="179">
        <v>4036844.18</v>
      </c>
      <c r="I55" s="154"/>
      <c r="J55" s="155"/>
    </row>
    <row r="56" spans="2:10">
      <c r="B56" s="139" t="s">
        <v>207</v>
      </c>
      <c r="C56" s="140" t="s">
        <v>547</v>
      </c>
      <c r="D56" s="175" t="s">
        <v>122</v>
      </c>
      <c r="E56" s="141" t="s">
        <v>778</v>
      </c>
      <c r="F56" s="140">
        <v>55</v>
      </c>
      <c r="G56" s="140">
        <v>64</v>
      </c>
      <c r="H56" s="179">
        <v>2257095.0499999998</v>
      </c>
      <c r="I56" s="154"/>
      <c r="J56" s="155"/>
    </row>
    <row r="57" spans="2:10">
      <c r="B57" s="139" t="s">
        <v>208</v>
      </c>
      <c r="C57" s="140" t="s">
        <v>549</v>
      </c>
      <c r="D57" s="175" t="s">
        <v>139</v>
      </c>
      <c r="E57" s="141" t="s">
        <v>779</v>
      </c>
      <c r="F57" s="140">
        <v>35</v>
      </c>
      <c r="G57" s="140">
        <v>35</v>
      </c>
      <c r="H57" s="179">
        <v>5335829.46</v>
      </c>
      <c r="I57" s="154"/>
      <c r="J57" s="155"/>
    </row>
    <row r="58" spans="2:10">
      <c r="B58" s="139" t="s">
        <v>209</v>
      </c>
      <c r="C58" s="140" t="s">
        <v>549</v>
      </c>
      <c r="D58" s="175" t="s">
        <v>153</v>
      </c>
      <c r="E58" s="141" t="s">
        <v>780</v>
      </c>
      <c r="F58" s="140">
        <v>96</v>
      </c>
      <c r="G58" s="140">
        <v>100</v>
      </c>
      <c r="H58" s="179">
        <v>24809670.399999999</v>
      </c>
      <c r="I58" s="154"/>
      <c r="J58" s="155"/>
    </row>
    <row r="59" spans="2:10">
      <c r="B59" s="139" t="s">
        <v>210</v>
      </c>
      <c r="C59" s="140" t="s">
        <v>549</v>
      </c>
      <c r="D59" s="175" t="s">
        <v>31</v>
      </c>
      <c r="E59" s="141" t="s">
        <v>781</v>
      </c>
      <c r="F59" s="140">
        <v>73</v>
      </c>
      <c r="G59" s="140">
        <v>103</v>
      </c>
      <c r="H59" s="179">
        <v>10093539.49</v>
      </c>
      <c r="I59" s="154"/>
      <c r="J59" s="155"/>
    </row>
    <row r="60" spans="2:10">
      <c r="B60" s="139" t="s">
        <v>211</v>
      </c>
      <c r="C60" s="140" t="s">
        <v>547</v>
      </c>
      <c r="D60" s="175" t="s">
        <v>106</v>
      </c>
      <c r="E60" s="141" t="s">
        <v>782</v>
      </c>
      <c r="F60" s="140">
        <v>105</v>
      </c>
      <c r="G60" s="140">
        <v>105</v>
      </c>
      <c r="H60" s="179">
        <v>10173462.02</v>
      </c>
      <c r="I60" s="154"/>
      <c r="J60" s="155"/>
    </row>
    <row r="61" spans="2:10">
      <c r="B61" s="139" t="s">
        <v>557</v>
      </c>
      <c r="C61" s="140" t="s">
        <v>549</v>
      </c>
      <c r="D61" s="175" t="s">
        <v>106</v>
      </c>
      <c r="E61" s="141" t="s">
        <v>783</v>
      </c>
      <c r="F61" s="140">
        <v>40</v>
      </c>
      <c r="G61" s="140">
        <v>40</v>
      </c>
      <c r="H61" s="179">
        <v>2482492.4900000002</v>
      </c>
      <c r="I61" s="154"/>
      <c r="J61" s="155"/>
    </row>
    <row r="62" spans="2:10">
      <c r="B62" s="139" t="s">
        <v>212</v>
      </c>
      <c r="C62" s="140" t="s">
        <v>547</v>
      </c>
      <c r="D62" s="175" t="s">
        <v>153</v>
      </c>
      <c r="E62" s="141" t="s">
        <v>784</v>
      </c>
      <c r="F62" s="140">
        <v>75</v>
      </c>
      <c r="G62" s="140">
        <v>75</v>
      </c>
      <c r="H62" s="179">
        <v>7442106.9100000001</v>
      </c>
      <c r="I62" s="154"/>
      <c r="J62" s="155"/>
    </row>
    <row r="63" spans="2:10">
      <c r="B63" s="139" t="s">
        <v>580</v>
      </c>
      <c r="C63" s="140" t="s">
        <v>549</v>
      </c>
      <c r="D63" s="175" t="s">
        <v>106</v>
      </c>
      <c r="E63" s="141" t="s">
        <v>785</v>
      </c>
      <c r="F63" s="140">
        <v>70</v>
      </c>
      <c r="G63" s="140">
        <v>70</v>
      </c>
      <c r="H63" s="179">
        <v>6439337.3899999997</v>
      </c>
      <c r="I63" s="154"/>
      <c r="J63" s="155"/>
    </row>
    <row r="64" spans="2:10">
      <c r="B64" s="139" t="s">
        <v>213</v>
      </c>
      <c r="C64" s="140" t="s">
        <v>547</v>
      </c>
      <c r="D64" s="175" t="s">
        <v>112</v>
      </c>
      <c r="E64" s="141" t="s">
        <v>786</v>
      </c>
      <c r="F64" s="140">
        <v>105</v>
      </c>
      <c r="G64" s="140">
        <v>105</v>
      </c>
      <c r="H64" s="179">
        <v>10354219.550000001</v>
      </c>
      <c r="I64" s="154"/>
      <c r="J64" s="155"/>
    </row>
    <row r="65" spans="2:10">
      <c r="B65" s="139" t="s">
        <v>610</v>
      </c>
      <c r="C65" s="140" t="s">
        <v>547</v>
      </c>
      <c r="D65" s="175" t="s">
        <v>112</v>
      </c>
      <c r="E65" s="141" t="s">
        <v>787</v>
      </c>
      <c r="F65" s="140">
        <v>52</v>
      </c>
      <c r="G65" s="140">
        <v>52</v>
      </c>
      <c r="H65" s="179">
        <v>2650623.15</v>
      </c>
      <c r="I65" s="154"/>
      <c r="J65" s="155"/>
    </row>
    <row r="66" spans="2:10">
      <c r="B66" s="139" t="s">
        <v>788</v>
      </c>
      <c r="C66" s="140" t="s">
        <v>547</v>
      </c>
      <c r="D66" s="175" t="s">
        <v>132</v>
      </c>
      <c r="E66" s="141" t="s">
        <v>789</v>
      </c>
      <c r="F66" s="140">
        <v>76</v>
      </c>
      <c r="G66" s="140">
        <v>76</v>
      </c>
      <c r="H66" s="179">
        <v>11882122.43</v>
      </c>
      <c r="I66" s="154"/>
      <c r="J66" s="155"/>
    </row>
    <row r="67" spans="2:10">
      <c r="B67" s="139" t="s">
        <v>214</v>
      </c>
      <c r="C67" s="140" t="s">
        <v>549</v>
      </c>
      <c r="D67" s="175" t="s">
        <v>136</v>
      </c>
      <c r="E67" s="141" t="s">
        <v>790</v>
      </c>
      <c r="F67" s="140">
        <v>65</v>
      </c>
      <c r="G67" s="140">
        <v>75</v>
      </c>
      <c r="H67" s="179">
        <v>12685828.060000001</v>
      </c>
      <c r="I67" s="154"/>
      <c r="J67" s="155"/>
    </row>
    <row r="68" spans="2:10">
      <c r="B68" s="139" t="s">
        <v>215</v>
      </c>
      <c r="C68" s="140" t="s">
        <v>547</v>
      </c>
      <c r="D68" s="175" t="s">
        <v>161</v>
      </c>
      <c r="E68" s="141" t="s">
        <v>791</v>
      </c>
      <c r="F68" s="140">
        <v>33</v>
      </c>
      <c r="G68" s="140">
        <v>33</v>
      </c>
      <c r="H68" s="179">
        <v>1314242.6299999999</v>
      </c>
      <c r="I68" s="154"/>
      <c r="J68" s="155"/>
    </row>
    <row r="69" spans="2:10">
      <c r="B69" s="139" t="s">
        <v>216</v>
      </c>
      <c r="C69" s="140" t="s">
        <v>549</v>
      </c>
      <c r="D69" s="175" t="s">
        <v>124</v>
      </c>
      <c r="E69" s="141" t="s">
        <v>792</v>
      </c>
      <c r="F69" s="140">
        <v>40</v>
      </c>
      <c r="G69" s="140">
        <v>40</v>
      </c>
      <c r="H69" s="179">
        <v>5409884.6500000004</v>
      </c>
      <c r="I69" s="154"/>
      <c r="J69" s="155"/>
    </row>
    <row r="70" spans="2:10">
      <c r="B70" s="139" t="s">
        <v>611</v>
      </c>
      <c r="C70" s="140" t="s">
        <v>547</v>
      </c>
      <c r="D70" s="175" t="s">
        <v>124</v>
      </c>
      <c r="E70" s="141" t="s">
        <v>793</v>
      </c>
      <c r="F70" s="140">
        <v>41</v>
      </c>
      <c r="G70" s="140">
        <v>41</v>
      </c>
      <c r="H70" s="179">
        <v>2177412.7400000002</v>
      </c>
      <c r="I70" s="154"/>
      <c r="J70" s="155"/>
    </row>
    <row r="71" spans="2:10">
      <c r="B71" s="139" t="s">
        <v>217</v>
      </c>
      <c r="C71" s="140" t="s">
        <v>549</v>
      </c>
      <c r="D71" s="175" t="s">
        <v>129</v>
      </c>
      <c r="E71" s="141" t="s">
        <v>794</v>
      </c>
      <c r="F71" s="140">
        <v>50</v>
      </c>
      <c r="G71" s="140">
        <v>50</v>
      </c>
      <c r="H71" s="179">
        <v>7143033.1799999997</v>
      </c>
      <c r="I71" s="154"/>
      <c r="J71" s="155"/>
    </row>
    <row r="72" spans="2:10">
      <c r="B72" s="139" t="s">
        <v>218</v>
      </c>
      <c r="C72" s="140" t="s">
        <v>547</v>
      </c>
      <c r="D72" s="175" t="s">
        <v>156</v>
      </c>
      <c r="E72" s="141" t="s">
        <v>795</v>
      </c>
      <c r="F72" s="140">
        <v>37</v>
      </c>
      <c r="G72" s="140">
        <v>37</v>
      </c>
      <c r="H72" s="179">
        <v>2310595.23</v>
      </c>
      <c r="I72" s="154"/>
      <c r="J72" s="155"/>
    </row>
    <row r="73" spans="2:10">
      <c r="B73" s="139" t="s">
        <v>219</v>
      </c>
      <c r="C73" s="140" t="s">
        <v>547</v>
      </c>
      <c r="D73" s="175" t="s">
        <v>108</v>
      </c>
      <c r="E73" s="141" t="s">
        <v>796</v>
      </c>
      <c r="F73" s="140">
        <v>20</v>
      </c>
      <c r="G73" s="140">
        <v>20</v>
      </c>
      <c r="H73" s="179">
        <v>1026959.43</v>
      </c>
      <c r="I73" s="154"/>
      <c r="J73" s="155"/>
    </row>
    <row r="74" spans="2:10">
      <c r="B74" s="139" t="s">
        <v>220</v>
      </c>
      <c r="C74" s="140" t="s">
        <v>547</v>
      </c>
      <c r="D74" s="175" t="s">
        <v>115</v>
      </c>
      <c r="E74" s="141" t="s">
        <v>797</v>
      </c>
      <c r="F74" s="140">
        <v>39</v>
      </c>
      <c r="G74" s="140">
        <v>39</v>
      </c>
      <c r="H74" s="179">
        <v>2083683.02</v>
      </c>
      <c r="I74" s="154"/>
      <c r="J74" s="155"/>
    </row>
    <row r="75" spans="2:10">
      <c r="B75" s="139" t="s">
        <v>221</v>
      </c>
      <c r="C75" s="140" t="s">
        <v>547</v>
      </c>
      <c r="D75" s="175" t="s">
        <v>158</v>
      </c>
      <c r="E75" s="141" t="s">
        <v>798</v>
      </c>
      <c r="F75" s="140">
        <v>38</v>
      </c>
      <c r="G75" s="140">
        <v>38</v>
      </c>
      <c r="H75" s="179">
        <v>4711797.55</v>
      </c>
      <c r="I75" s="154"/>
      <c r="J75" s="155"/>
    </row>
    <row r="76" spans="2:10">
      <c r="B76" s="139" t="s">
        <v>222</v>
      </c>
      <c r="C76" s="140" t="s">
        <v>547</v>
      </c>
      <c r="D76" s="175" t="s">
        <v>124</v>
      </c>
      <c r="E76" s="141" t="s">
        <v>799</v>
      </c>
      <c r="F76" s="140">
        <v>29</v>
      </c>
      <c r="G76" s="140">
        <v>29</v>
      </c>
      <c r="H76" s="179">
        <v>2191348.14</v>
      </c>
      <c r="I76" s="154"/>
      <c r="J76" s="155"/>
    </row>
    <row r="77" spans="2:10">
      <c r="B77" s="139" t="s">
        <v>612</v>
      </c>
      <c r="C77" s="140" t="s">
        <v>547</v>
      </c>
      <c r="D77" s="175" t="s">
        <v>136</v>
      </c>
      <c r="E77" s="141" t="s">
        <v>800</v>
      </c>
      <c r="F77" s="140">
        <v>71</v>
      </c>
      <c r="G77" s="140">
        <v>71</v>
      </c>
      <c r="H77" s="179">
        <v>4502680.3099999996</v>
      </c>
      <c r="I77" s="154"/>
      <c r="J77" s="155"/>
    </row>
    <row r="78" spans="2:10">
      <c r="B78" s="139" t="s">
        <v>223</v>
      </c>
      <c r="C78" s="140" t="s">
        <v>547</v>
      </c>
      <c r="D78" s="175" t="s">
        <v>117</v>
      </c>
      <c r="E78" s="141" t="s">
        <v>801</v>
      </c>
      <c r="F78" s="140">
        <v>50</v>
      </c>
      <c r="G78" s="140">
        <v>50</v>
      </c>
      <c r="H78" s="179">
        <v>4603850.9800000004</v>
      </c>
      <c r="I78" s="154"/>
      <c r="J78" s="155"/>
    </row>
    <row r="79" spans="2:10">
      <c r="B79" s="139" t="s">
        <v>224</v>
      </c>
      <c r="C79" s="140" t="s">
        <v>547</v>
      </c>
      <c r="D79" s="175" t="s">
        <v>132</v>
      </c>
      <c r="E79" s="141" t="s">
        <v>802</v>
      </c>
      <c r="F79" s="140">
        <v>100</v>
      </c>
      <c r="G79" s="140">
        <v>105</v>
      </c>
      <c r="H79" s="179">
        <v>14233040.01</v>
      </c>
      <c r="I79" s="154"/>
      <c r="J79" s="155"/>
    </row>
    <row r="80" spans="2:10">
      <c r="B80" s="139" t="s">
        <v>803</v>
      </c>
      <c r="C80" s="140" t="s">
        <v>547</v>
      </c>
      <c r="D80" s="175" t="s">
        <v>110</v>
      </c>
      <c r="E80" s="141" t="s">
        <v>804</v>
      </c>
      <c r="F80" s="140">
        <v>37</v>
      </c>
      <c r="G80" s="140">
        <v>60</v>
      </c>
      <c r="H80" s="179">
        <v>3866470.52</v>
      </c>
      <c r="I80" s="154"/>
      <c r="J80" s="155"/>
    </row>
    <row r="81" spans="2:10">
      <c r="B81" s="139" t="s">
        <v>226</v>
      </c>
      <c r="C81" s="140" t="s">
        <v>549</v>
      </c>
      <c r="D81" s="175" t="s">
        <v>125</v>
      </c>
      <c r="E81" s="141" t="s">
        <v>805</v>
      </c>
      <c r="F81" s="140">
        <v>40</v>
      </c>
      <c r="G81" s="140">
        <v>45</v>
      </c>
      <c r="H81" s="179">
        <v>4301129.24</v>
      </c>
      <c r="I81" s="154"/>
      <c r="J81" s="155"/>
    </row>
    <row r="82" spans="2:10">
      <c r="B82" s="139" t="s">
        <v>227</v>
      </c>
      <c r="C82" s="140" t="s">
        <v>547</v>
      </c>
      <c r="D82" s="175" t="s">
        <v>99</v>
      </c>
      <c r="E82" s="141" t="s">
        <v>806</v>
      </c>
      <c r="F82" s="140">
        <v>30</v>
      </c>
      <c r="G82" s="140">
        <v>30</v>
      </c>
      <c r="H82" s="179">
        <v>2181841.25</v>
      </c>
      <c r="I82" s="154"/>
      <c r="J82" s="155"/>
    </row>
    <row r="83" spans="2:10">
      <c r="B83" s="139" t="s">
        <v>228</v>
      </c>
      <c r="C83" s="140" t="s">
        <v>547</v>
      </c>
      <c r="D83" s="175" t="s">
        <v>103</v>
      </c>
      <c r="E83" s="141" t="s">
        <v>807</v>
      </c>
      <c r="F83" s="140">
        <v>60</v>
      </c>
      <c r="G83" s="140">
        <v>60</v>
      </c>
      <c r="H83" s="179">
        <v>7104931.8899999997</v>
      </c>
      <c r="I83" s="154"/>
      <c r="J83" s="155"/>
    </row>
    <row r="84" spans="2:10">
      <c r="B84" s="139" t="s">
        <v>229</v>
      </c>
      <c r="C84" s="140" t="s">
        <v>547</v>
      </c>
      <c r="D84" s="175" t="s">
        <v>131</v>
      </c>
      <c r="E84" s="141" t="s">
        <v>808</v>
      </c>
      <c r="F84" s="140">
        <v>105</v>
      </c>
      <c r="G84" s="140">
        <v>105</v>
      </c>
      <c r="H84" s="179">
        <v>8098923.1500000004</v>
      </c>
      <c r="I84" s="154"/>
      <c r="J84" s="155"/>
    </row>
    <row r="85" spans="2:10">
      <c r="B85" s="139" t="s">
        <v>230</v>
      </c>
      <c r="C85" s="140" t="s">
        <v>547</v>
      </c>
      <c r="D85" s="175" t="s">
        <v>120</v>
      </c>
      <c r="E85" s="141" t="s">
        <v>809</v>
      </c>
      <c r="F85" s="140">
        <v>60</v>
      </c>
      <c r="G85" s="140">
        <v>60</v>
      </c>
      <c r="H85" s="179">
        <v>7746301.29</v>
      </c>
      <c r="I85" s="154"/>
      <c r="J85" s="155"/>
    </row>
    <row r="86" spans="2:10">
      <c r="B86" s="139" t="s">
        <v>231</v>
      </c>
      <c r="C86" s="140" t="s">
        <v>547</v>
      </c>
      <c r="D86" s="175" t="s">
        <v>130</v>
      </c>
      <c r="E86" s="141" t="s">
        <v>810</v>
      </c>
      <c r="F86" s="140">
        <v>30</v>
      </c>
      <c r="G86" s="140">
        <v>30</v>
      </c>
      <c r="H86" s="179">
        <v>4821946.78</v>
      </c>
      <c r="I86" s="154"/>
      <c r="J86" s="155"/>
    </row>
    <row r="87" spans="2:10">
      <c r="B87" s="139" t="s">
        <v>574</v>
      </c>
      <c r="C87" s="140" t="s">
        <v>547</v>
      </c>
      <c r="D87" s="175" t="s">
        <v>106</v>
      </c>
      <c r="E87" s="141" t="s">
        <v>811</v>
      </c>
      <c r="F87" s="140">
        <v>60</v>
      </c>
      <c r="G87" s="140">
        <v>60</v>
      </c>
      <c r="H87" s="179">
        <v>6906335.25</v>
      </c>
      <c r="I87" s="154"/>
      <c r="J87" s="155"/>
    </row>
    <row r="88" spans="2:10">
      <c r="B88" s="139" t="s">
        <v>232</v>
      </c>
      <c r="C88" s="140" t="s">
        <v>547</v>
      </c>
      <c r="D88" s="175" t="s">
        <v>131</v>
      </c>
      <c r="E88" s="141" t="s">
        <v>812</v>
      </c>
      <c r="F88" s="140">
        <v>82</v>
      </c>
      <c r="G88" s="140">
        <v>82</v>
      </c>
      <c r="H88" s="179">
        <v>4805296.08</v>
      </c>
      <c r="I88" s="154"/>
      <c r="J88" s="155"/>
    </row>
    <row r="89" spans="2:10">
      <c r="B89" s="139" t="s">
        <v>813</v>
      </c>
      <c r="C89" s="140" t="s">
        <v>547</v>
      </c>
      <c r="D89" s="175" t="s">
        <v>154</v>
      </c>
      <c r="E89" s="141" t="s">
        <v>814</v>
      </c>
      <c r="F89" s="140">
        <v>70</v>
      </c>
      <c r="G89" s="140">
        <v>70</v>
      </c>
      <c r="H89" s="179">
        <v>573043.07999999996</v>
      </c>
      <c r="I89" s="154"/>
      <c r="J89" s="155"/>
    </row>
    <row r="90" spans="2:10">
      <c r="B90" s="139" t="s">
        <v>233</v>
      </c>
      <c r="C90" s="140" t="s">
        <v>547</v>
      </c>
      <c r="D90" s="175" t="s">
        <v>20</v>
      </c>
      <c r="E90" s="141" t="s">
        <v>815</v>
      </c>
      <c r="F90" s="140">
        <v>28</v>
      </c>
      <c r="G90" s="140">
        <v>28</v>
      </c>
      <c r="H90" s="179">
        <v>1030542.08</v>
      </c>
      <c r="I90" s="154"/>
      <c r="J90" s="155"/>
    </row>
    <row r="91" spans="2:10">
      <c r="B91" s="139" t="s">
        <v>234</v>
      </c>
      <c r="C91" s="140" t="s">
        <v>549</v>
      </c>
      <c r="D91" s="175" t="s">
        <v>24</v>
      </c>
      <c r="E91" s="141" t="s">
        <v>816</v>
      </c>
      <c r="F91" s="140">
        <v>43</v>
      </c>
      <c r="G91" s="140">
        <v>50</v>
      </c>
      <c r="H91" s="179">
        <v>3721180.96</v>
      </c>
      <c r="I91" s="154"/>
      <c r="J91" s="155"/>
    </row>
    <row r="92" spans="2:10">
      <c r="B92" s="139" t="s">
        <v>235</v>
      </c>
      <c r="C92" s="140" t="s">
        <v>547</v>
      </c>
      <c r="D92" s="175" t="s">
        <v>108</v>
      </c>
      <c r="E92" s="141" t="s">
        <v>817</v>
      </c>
      <c r="F92" s="140">
        <v>20</v>
      </c>
      <c r="G92" s="140">
        <v>20</v>
      </c>
      <c r="H92" s="179">
        <v>945534.74</v>
      </c>
      <c r="I92" s="154"/>
      <c r="J92" s="155"/>
    </row>
    <row r="93" spans="2:10">
      <c r="B93" s="139" t="s">
        <v>613</v>
      </c>
      <c r="C93" s="140" t="s">
        <v>547</v>
      </c>
      <c r="D93" s="175" t="s">
        <v>108</v>
      </c>
      <c r="E93" s="141" t="s">
        <v>818</v>
      </c>
      <c r="F93" s="140">
        <v>25</v>
      </c>
      <c r="G93" s="140">
        <v>25</v>
      </c>
      <c r="H93" s="179">
        <v>770221.98</v>
      </c>
      <c r="I93" s="154"/>
      <c r="J93" s="155"/>
    </row>
    <row r="94" spans="2:10">
      <c r="B94" s="139" t="s">
        <v>236</v>
      </c>
      <c r="C94" s="140" t="s">
        <v>549</v>
      </c>
      <c r="D94" s="175" t="s">
        <v>20</v>
      </c>
      <c r="E94" s="141" t="s">
        <v>819</v>
      </c>
      <c r="F94" s="140">
        <v>29</v>
      </c>
      <c r="G94" s="140">
        <v>29</v>
      </c>
      <c r="H94" s="179">
        <v>2754885.41</v>
      </c>
      <c r="I94" s="154"/>
      <c r="J94" s="155"/>
    </row>
    <row r="95" spans="2:10">
      <c r="B95" s="139" t="s">
        <v>237</v>
      </c>
      <c r="C95" s="140" t="s">
        <v>549</v>
      </c>
      <c r="D95" s="175" t="s">
        <v>149</v>
      </c>
      <c r="E95" s="141" t="s">
        <v>820</v>
      </c>
      <c r="F95" s="140">
        <v>14</v>
      </c>
      <c r="G95" s="140">
        <v>18</v>
      </c>
      <c r="H95" s="179">
        <v>2505439.58</v>
      </c>
      <c r="I95" s="154"/>
      <c r="J95" s="155"/>
    </row>
    <row r="96" spans="2:10">
      <c r="B96" s="139" t="s">
        <v>238</v>
      </c>
      <c r="C96" s="140" t="s">
        <v>549</v>
      </c>
      <c r="D96" s="175" t="s">
        <v>154</v>
      </c>
      <c r="E96" s="141" t="s">
        <v>821</v>
      </c>
      <c r="F96" s="140">
        <v>75</v>
      </c>
      <c r="G96" s="140">
        <v>75</v>
      </c>
      <c r="H96" s="179">
        <v>16295992.539999999</v>
      </c>
      <c r="I96" s="154"/>
      <c r="J96" s="155"/>
    </row>
    <row r="97" spans="2:10">
      <c r="B97" s="139" t="s">
        <v>239</v>
      </c>
      <c r="C97" s="140" t="s">
        <v>549</v>
      </c>
      <c r="D97" s="175" t="s">
        <v>122</v>
      </c>
      <c r="E97" s="141" t="s">
        <v>822</v>
      </c>
      <c r="F97" s="140">
        <v>47</v>
      </c>
      <c r="G97" s="140">
        <v>54</v>
      </c>
      <c r="H97" s="179">
        <v>6543712.0300000003</v>
      </c>
      <c r="I97" s="154"/>
      <c r="J97" s="155"/>
    </row>
    <row r="98" spans="2:10">
      <c r="B98" s="139" t="s">
        <v>240</v>
      </c>
      <c r="C98" s="140" t="s">
        <v>547</v>
      </c>
      <c r="D98" s="175" t="s">
        <v>30</v>
      </c>
      <c r="E98" s="141" t="s">
        <v>823</v>
      </c>
      <c r="F98" s="140">
        <v>10</v>
      </c>
      <c r="G98" s="140">
        <v>10</v>
      </c>
      <c r="H98" s="179">
        <v>436036.15</v>
      </c>
      <c r="I98" s="154"/>
      <c r="J98" s="155"/>
    </row>
    <row r="99" spans="2:10">
      <c r="B99" s="139" t="s">
        <v>241</v>
      </c>
      <c r="C99" s="140" t="s">
        <v>549</v>
      </c>
      <c r="D99" s="175" t="s">
        <v>138</v>
      </c>
      <c r="E99" s="141" t="s">
        <v>824</v>
      </c>
      <c r="F99" s="140">
        <v>40</v>
      </c>
      <c r="G99" s="140">
        <v>40</v>
      </c>
      <c r="H99" s="179">
        <v>5293187.84</v>
      </c>
      <c r="I99" s="154"/>
      <c r="J99" s="155"/>
    </row>
    <row r="100" spans="2:10">
      <c r="B100" s="139" t="s">
        <v>242</v>
      </c>
      <c r="C100" s="140" t="s">
        <v>549</v>
      </c>
      <c r="D100" s="175" t="s">
        <v>130</v>
      </c>
      <c r="E100" s="141" t="s">
        <v>825</v>
      </c>
      <c r="F100" s="140">
        <v>21</v>
      </c>
      <c r="G100" s="140">
        <v>21</v>
      </c>
      <c r="H100" s="179">
        <v>3895844.61</v>
      </c>
      <c r="I100" s="154"/>
      <c r="J100" s="155"/>
    </row>
    <row r="101" spans="2:10">
      <c r="B101" s="139" t="s">
        <v>243</v>
      </c>
      <c r="C101" s="140" t="s">
        <v>549</v>
      </c>
      <c r="D101" s="175" t="s">
        <v>147</v>
      </c>
      <c r="E101" s="141" t="s">
        <v>826</v>
      </c>
      <c r="F101" s="140">
        <v>48</v>
      </c>
      <c r="G101" s="140">
        <v>48</v>
      </c>
      <c r="H101" s="179">
        <v>8687002.4900000002</v>
      </c>
      <c r="I101" s="154"/>
      <c r="J101" s="155"/>
    </row>
    <row r="102" spans="2:10">
      <c r="B102" s="139" t="s">
        <v>245</v>
      </c>
      <c r="C102" s="140" t="s">
        <v>547</v>
      </c>
      <c r="D102" s="175" t="s">
        <v>122</v>
      </c>
      <c r="E102" s="141" t="s">
        <v>827</v>
      </c>
      <c r="F102" s="140">
        <v>70</v>
      </c>
      <c r="G102" s="140">
        <v>70</v>
      </c>
      <c r="H102" s="179">
        <v>12088946.08</v>
      </c>
      <c r="I102" s="154"/>
      <c r="J102" s="155"/>
    </row>
    <row r="103" spans="2:10">
      <c r="B103" s="139" t="s">
        <v>244</v>
      </c>
      <c r="C103" s="140" t="s">
        <v>549</v>
      </c>
      <c r="D103" s="175" t="s">
        <v>96</v>
      </c>
      <c r="E103" s="141" t="s">
        <v>828</v>
      </c>
      <c r="F103" s="140">
        <v>45</v>
      </c>
      <c r="G103" s="140">
        <v>45</v>
      </c>
      <c r="H103" s="179">
        <v>6258010.9900000002</v>
      </c>
      <c r="I103" s="154"/>
      <c r="J103" s="155"/>
    </row>
    <row r="104" spans="2:10">
      <c r="B104" s="139" t="s">
        <v>246</v>
      </c>
      <c r="C104" s="140" t="s">
        <v>549</v>
      </c>
      <c r="D104" s="175" t="s">
        <v>109</v>
      </c>
      <c r="E104" s="141" t="s">
        <v>829</v>
      </c>
      <c r="F104" s="140">
        <v>79</v>
      </c>
      <c r="G104" s="140">
        <v>100</v>
      </c>
      <c r="H104" s="179">
        <v>11172315.85</v>
      </c>
      <c r="I104" s="154"/>
      <c r="J104" s="155"/>
    </row>
    <row r="105" spans="2:10">
      <c r="B105" s="139" t="s">
        <v>614</v>
      </c>
      <c r="C105" s="140" t="s">
        <v>547</v>
      </c>
      <c r="D105" s="175" t="s">
        <v>107</v>
      </c>
      <c r="E105" s="141" t="s">
        <v>830</v>
      </c>
      <c r="F105" s="140">
        <v>50</v>
      </c>
      <c r="G105" s="140">
        <v>50</v>
      </c>
      <c r="H105" s="179">
        <v>3382686.55</v>
      </c>
      <c r="I105" s="154"/>
      <c r="J105" s="155"/>
    </row>
    <row r="106" spans="2:10">
      <c r="B106" s="139" t="s">
        <v>247</v>
      </c>
      <c r="C106" s="140" t="s">
        <v>549</v>
      </c>
      <c r="D106" s="175" t="s">
        <v>137</v>
      </c>
      <c r="E106" s="141" t="s">
        <v>831</v>
      </c>
      <c r="F106" s="140">
        <v>40</v>
      </c>
      <c r="G106" s="140">
        <v>40</v>
      </c>
      <c r="H106" s="179">
        <v>4910624.67</v>
      </c>
      <c r="I106" s="154"/>
      <c r="J106" s="155"/>
    </row>
    <row r="107" spans="2:10">
      <c r="B107" s="139" t="s">
        <v>248</v>
      </c>
      <c r="C107" s="140" t="s">
        <v>549</v>
      </c>
      <c r="D107" s="175" t="s">
        <v>156</v>
      </c>
      <c r="E107" s="141" t="s">
        <v>832</v>
      </c>
      <c r="F107" s="140">
        <v>68</v>
      </c>
      <c r="G107" s="140">
        <v>68</v>
      </c>
      <c r="H107" s="179">
        <v>5825430.4699999997</v>
      </c>
      <c r="I107" s="154"/>
      <c r="J107" s="155"/>
    </row>
    <row r="108" spans="2:10">
      <c r="B108" s="139" t="s">
        <v>249</v>
      </c>
      <c r="C108" s="140" t="s">
        <v>549</v>
      </c>
      <c r="D108" s="175" t="s">
        <v>109</v>
      </c>
      <c r="E108" s="141" t="s">
        <v>833</v>
      </c>
      <c r="F108" s="140">
        <v>54</v>
      </c>
      <c r="G108" s="140">
        <v>100</v>
      </c>
      <c r="H108" s="179">
        <v>4707755.6500000004</v>
      </c>
      <c r="I108" s="154"/>
      <c r="J108" s="155"/>
    </row>
    <row r="109" spans="2:10">
      <c r="B109" s="139" t="s">
        <v>250</v>
      </c>
      <c r="C109" s="140" t="s">
        <v>549</v>
      </c>
      <c r="D109" s="175" t="s">
        <v>131</v>
      </c>
      <c r="E109" s="141" t="s">
        <v>834</v>
      </c>
      <c r="F109" s="140">
        <v>105</v>
      </c>
      <c r="G109" s="140">
        <v>105</v>
      </c>
      <c r="H109" s="179">
        <v>10636407.220000001</v>
      </c>
      <c r="I109" s="154"/>
      <c r="J109" s="155"/>
    </row>
    <row r="110" spans="2:10">
      <c r="B110" s="139" t="s">
        <v>251</v>
      </c>
      <c r="C110" s="140" t="s">
        <v>549</v>
      </c>
      <c r="D110" s="175" t="s">
        <v>25</v>
      </c>
      <c r="E110" s="141" t="s">
        <v>835</v>
      </c>
      <c r="F110" s="140">
        <v>30</v>
      </c>
      <c r="G110" s="140">
        <v>30</v>
      </c>
      <c r="H110" s="179">
        <v>3171764.14</v>
      </c>
      <c r="I110" s="154"/>
      <c r="J110" s="155"/>
    </row>
    <row r="111" spans="2:10">
      <c r="B111" s="139" t="s">
        <v>252</v>
      </c>
      <c r="C111" s="140" t="s">
        <v>547</v>
      </c>
      <c r="D111" s="175" t="s">
        <v>116</v>
      </c>
      <c r="E111" s="141" t="s">
        <v>836</v>
      </c>
      <c r="F111" s="140">
        <v>103</v>
      </c>
      <c r="G111" s="140">
        <v>103</v>
      </c>
      <c r="H111" s="179">
        <v>10910636.42</v>
      </c>
      <c r="I111" s="154"/>
      <c r="J111" s="155"/>
    </row>
    <row r="112" spans="2:10">
      <c r="B112" s="139" t="s">
        <v>615</v>
      </c>
      <c r="C112" s="140" t="s">
        <v>547</v>
      </c>
      <c r="D112" s="175" t="s">
        <v>116</v>
      </c>
      <c r="E112" s="141" t="s">
        <v>837</v>
      </c>
      <c r="F112" s="140">
        <v>63</v>
      </c>
      <c r="G112" s="140">
        <v>63</v>
      </c>
      <c r="H112" s="179">
        <v>8653785.4700000007</v>
      </c>
      <c r="I112" s="154"/>
      <c r="J112" s="155"/>
    </row>
    <row r="113" spans="2:10">
      <c r="B113" s="139" t="s">
        <v>253</v>
      </c>
      <c r="C113" s="140" t="s">
        <v>547</v>
      </c>
      <c r="D113" s="175" t="s">
        <v>116</v>
      </c>
      <c r="E113" s="141" t="s">
        <v>838</v>
      </c>
      <c r="F113" s="140">
        <v>77</v>
      </c>
      <c r="G113" s="140">
        <v>77</v>
      </c>
      <c r="H113" s="179">
        <v>2337855.58</v>
      </c>
      <c r="I113" s="154"/>
      <c r="J113" s="155"/>
    </row>
    <row r="114" spans="2:10">
      <c r="B114" s="139" t="s">
        <v>616</v>
      </c>
      <c r="C114" s="140" t="s">
        <v>547</v>
      </c>
      <c r="D114" s="175" t="s">
        <v>109</v>
      </c>
      <c r="E114" s="141" t="s">
        <v>839</v>
      </c>
      <c r="F114" s="140">
        <v>65</v>
      </c>
      <c r="G114" s="140">
        <v>65</v>
      </c>
      <c r="H114" s="179">
        <v>4983163.47</v>
      </c>
      <c r="I114" s="154"/>
      <c r="J114" s="155"/>
    </row>
    <row r="115" spans="2:10">
      <c r="B115" s="139" t="s">
        <v>254</v>
      </c>
      <c r="C115" s="140" t="s">
        <v>549</v>
      </c>
      <c r="D115" s="175" t="s">
        <v>140</v>
      </c>
      <c r="E115" s="141" t="s">
        <v>840</v>
      </c>
      <c r="F115" s="140">
        <v>32</v>
      </c>
      <c r="G115" s="140">
        <v>32</v>
      </c>
      <c r="H115" s="179">
        <v>3271611.72</v>
      </c>
      <c r="I115" s="154"/>
      <c r="J115" s="155"/>
    </row>
    <row r="116" spans="2:10">
      <c r="B116" s="139" t="s">
        <v>255</v>
      </c>
      <c r="C116" s="140" t="s">
        <v>547</v>
      </c>
      <c r="D116" s="175" t="s">
        <v>22</v>
      </c>
      <c r="E116" s="141" t="s">
        <v>841</v>
      </c>
      <c r="F116" s="140">
        <v>32</v>
      </c>
      <c r="G116" s="140">
        <v>32</v>
      </c>
      <c r="H116" s="179">
        <v>1469588.08</v>
      </c>
      <c r="I116" s="154"/>
      <c r="J116" s="155"/>
    </row>
    <row r="117" spans="2:10">
      <c r="B117" s="139" t="s">
        <v>256</v>
      </c>
      <c r="C117" s="140" t="s">
        <v>547</v>
      </c>
      <c r="D117" s="175" t="s">
        <v>103</v>
      </c>
      <c r="E117" s="141" t="s">
        <v>842</v>
      </c>
      <c r="F117" s="140">
        <v>80</v>
      </c>
      <c r="G117" s="140">
        <v>80</v>
      </c>
      <c r="H117" s="179">
        <v>16915186.09</v>
      </c>
      <c r="I117" s="154"/>
      <c r="J117" s="155"/>
    </row>
    <row r="118" spans="2:10">
      <c r="B118" s="139" t="s">
        <v>257</v>
      </c>
      <c r="C118" s="140" t="s">
        <v>549</v>
      </c>
      <c r="D118" s="175" t="s">
        <v>103</v>
      </c>
      <c r="E118" s="141" t="s">
        <v>843</v>
      </c>
      <c r="F118" s="140">
        <v>80</v>
      </c>
      <c r="G118" s="140">
        <v>100</v>
      </c>
      <c r="H118" s="179">
        <v>17831499.73</v>
      </c>
      <c r="I118" s="154"/>
      <c r="J118" s="155"/>
    </row>
    <row r="119" spans="2:10">
      <c r="B119" s="139" t="s">
        <v>258</v>
      </c>
      <c r="C119" s="140" t="s">
        <v>549</v>
      </c>
      <c r="D119" s="175" t="s">
        <v>103</v>
      </c>
      <c r="E119" s="141" t="s">
        <v>844</v>
      </c>
      <c r="F119" s="140">
        <v>55</v>
      </c>
      <c r="G119" s="140">
        <v>55</v>
      </c>
      <c r="H119" s="179">
        <v>438068.99</v>
      </c>
      <c r="I119" s="154"/>
      <c r="J119" s="155"/>
    </row>
    <row r="120" spans="2:10">
      <c r="B120" s="139" t="s">
        <v>845</v>
      </c>
      <c r="C120" s="140" t="s">
        <v>549</v>
      </c>
      <c r="D120" s="175" t="s">
        <v>103</v>
      </c>
      <c r="E120" s="141" t="s">
        <v>844</v>
      </c>
      <c r="F120" s="140">
        <v>0</v>
      </c>
      <c r="G120" s="140">
        <v>0</v>
      </c>
      <c r="H120" s="179">
        <v>7929071.7599999998</v>
      </c>
      <c r="I120" s="154"/>
      <c r="J120" s="155"/>
    </row>
    <row r="121" spans="2:10">
      <c r="B121" s="139" t="s">
        <v>585</v>
      </c>
      <c r="C121" s="140" t="s">
        <v>549</v>
      </c>
      <c r="D121" s="175" t="s">
        <v>142</v>
      </c>
      <c r="E121" s="141" t="s">
        <v>846</v>
      </c>
      <c r="F121" s="140">
        <v>50</v>
      </c>
      <c r="G121" s="140">
        <v>50</v>
      </c>
      <c r="H121" s="179">
        <v>5731490.25</v>
      </c>
      <c r="I121" s="154"/>
      <c r="J121" s="155"/>
    </row>
    <row r="122" spans="2:10">
      <c r="B122" s="139" t="s">
        <v>259</v>
      </c>
      <c r="C122" s="140" t="s">
        <v>549</v>
      </c>
      <c r="D122" s="175" t="s">
        <v>144</v>
      </c>
      <c r="E122" s="141" t="s">
        <v>847</v>
      </c>
      <c r="F122" s="140">
        <v>40</v>
      </c>
      <c r="G122" s="140">
        <v>40</v>
      </c>
      <c r="H122" s="179">
        <v>1887098.58</v>
      </c>
      <c r="I122" s="154"/>
      <c r="J122" s="155"/>
    </row>
    <row r="123" spans="2:10">
      <c r="B123" s="139" t="s">
        <v>260</v>
      </c>
      <c r="C123" s="140" t="s">
        <v>549</v>
      </c>
      <c r="D123" s="175" t="s">
        <v>124</v>
      </c>
      <c r="E123" s="141" t="s">
        <v>848</v>
      </c>
      <c r="F123" s="140">
        <v>90</v>
      </c>
      <c r="G123" s="140">
        <v>90</v>
      </c>
      <c r="H123" s="179">
        <v>16733736.060000001</v>
      </c>
      <c r="I123" s="154"/>
      <c r="J123" s="155"/>
    </row>
    <row r="124" spans="2:10">
      <c r="B124" s="139" t="s">
        <v>261</v>
      </c>
      <c r="C124" s="140" t="s">
        <v>549</v>
      </c>
      <c r="D124" s="175" t="s">
        <v>129</v>
      </c>
      <c r="E124" s="141" t="s">
        <v>849</v>
      </c>
      <c r="F124" s="140">
        <v>85</v>
      </c>
      <c r="G124" s="140">
        <v>100</v>
      </c>
      <c r="H124" s="179">
        <v>16049223.99</v>
      </c>
      <c r="I124" s="154"/>
      <c r="J124" s="155"/>
    </row>
    <row r="125" spans="2:10">
      <c r="B125" s="139" t="s">
        <v>262</v>
      </c>
      <c r="C125" s="140" t="s">
        <v>549</v>
      </c>
      <c r="D125" s="175" t="s">
        <v>131</v>
      </c>
      <c r="E125" s="141" t="s">
        <v>850</v>
      </c>
      <c r="F125" s="140">
        <v>97</v>
      </c>
      <c r="G125" s="140">
        <v>97</v>
      </c>
      <c r="H125" s="179">
        <v>21056025.199999999</v>
      </c>
      <c r="I125" s="154"/>
      <c r="J125" s="155"/>
    </row>
    <row r="126" spans="2:10">
      <c r="B126" s="139" t="s">
        <v>263</v>
      </c>
      <c r="C126" s="140" t="s">
        <v>549</v>
      </c>
      <c r="D126" s="175" t="s">
        <v>140</v>
      </c>
      <c r="E126" s="141" t="s">
        <v>851</v>
      </c>
      <c r="F126" s="140">
        <v>41</v>
      </c>
      <c r="G126" s="140">
        <v>41</v>
      </c>
      <c r="H126" s="179">
        <v>4202456.91</v>
      </c>
      <c r="I126" s="154"/>
      <c r="J126" s="155"/>
    </row>
    <row r="127" spans="2:10">
      <c r="B127" s="139" t="s">
        <v>264</v>
      </c>
      <c r="C127" s="140" t="s">
        <v>549</v>
      </c>
      <c r="D127" s="175" t="s">
        <v>139</v>
      </c>
      <c r="E127" s="141" t="s">
        <v>852</v>
      </c>
      <c r="F127" s="140">
        <v>75</v>
      </c>
      <c r="G127" s="140">
        <v>85</v>
      </c>
      <c r="H127" s="179">
        <v>9422846.7899999991</v>
      </c>
      <c r="I127" s="154"/>
      <c r="J127" s="155"/>
    </row>
    <row r="128" spans="2:10">
      <c r="B128" s="139" t="s">
        <v>265</v>
      </c>
      <c r="C128" s="140" t="s">
        <v>549</v>
      </c>
      <c r="D128" s="175" t="s">
        <v>139</v>
      </c>
      <c r="E128" s="141" t="s">
        <v>853</v>
      </c>
      <c r="F128" s="140">
        <v>50</v>
      </c>
      <c r="G128" s="140">
        <v>50</v>
      </c>
      <c r="H128" s="179">
        <v>7008971.5899999999</v>
      </c>
      <c r="I128" s="154"/>
      <c r="J128" s="155"/>
    </row>
    <row r="129" spans="2:10">
      <c r="B129" s="139" t="s">
        <v>266</v>
      </c>
      <c r="C129" s="140" t="s">
        <v>547</v>
      </c>
      <c r="D129" s="175" t="s">
        <v>131</v>
      </c>
      <c r="E129" s="141" t="s">
        <v>854</v>
      </c>
      <c r="F129" s="140">
        <v>19</v>
      </c>
      <c r="G129" s="140">
        <v>19</v>
      </c>
      <c r="H129" s="179">
        <v>121852.15</v>
      </c>
      <c r="I129" s="154"/>
      <c r="J129" s="155"/>
    </row>
    <row r="130" spans="2:10">
      <c r="B130" s="139" t="s">
        <v>267</v>
      </c>
      <c r="C130" s="140" t="s">
        <v>549</v>
      </c>
      <c r="D130" s="175" t="s">
        <v>105</v>
      </c>
      <c r="E130" s="141" t="s">
        <v>855</v>
      </c>
      <c r="F130" s="140">
        <v>30</v>
      </c>
      <c r="G130" s="140">
        <v>30</v>
      </c>
      <c r="H130" s="179">
        <v>836401.84</v>
      </c>
      <c r="I130" s="154"/>
      <c r="J130" s="155"/>
    </row>
    <row r="131" spans="2:10">
      <c r="B131" s="139" t="s">
        <v>268</v>
      </c>
      <c r="C131" s="140" t="s">
        <v>547</v>
      </c>
      <c r="D131" s="175" t="s">
        <v>105</v>
      </c>
      <c r="E131" s="141" t="s">
        <v>856</v>
      </c>
      <c r="F131" s="140">
        <v>84</v>
      </c>
      <c r="G131" s="140">
        <v>84</v>
      </c>
      <c r="H131" s="179">
        <v>4582637.8899999997</v>
      </c>
      <c r="I131" s="154"/>
      <c r="J131" s="155"/>
    </row>
    <row r="132" spans="2:10">
      <c r="B132" s="139" t="s">
        <v>617</v>
      </c>
      <c r="C132" s="140" t="s">
        <v>547</v>
      </c>
      <c r="D132" s="175" t="s">
        <v>124</v>
      </c>
      <c r="E132" s="141" t="s">
        <v>857</v>
      </c>
      <c r="F132" s="140">
        <v>80</v>
      </c>
      <c r="G132" s="140">
        <v>80</v>
      </c>
      <c r="H132" s="179">
        <v>4642094.6100000003</v>
      </c>
      <c r="I132" s="154"/>
      <c r="J132" s="155"/>
    </row>
    <row r="133" spans="2:10">
      <c r="B133" s="139" t="s">
        <v>269</v>
      </c>
      <c r="C133" s="140" t="s">
        <v>549</v>
      </c>
      <c r="D133" s="175" t="s">
        <v>109</v>
      </c>
      <c r="E133" s="141" t="s">
        <v>858</v>
      </c>
      <c r="F133" s="140">
        <v>100</v>
      </c>
      <c r="G133" s="140">
        <v>100</v>
      </c>
      <c r="H133" s="179">
        <v>14434114.85</v>
      </c>
      <c r="I133" s="154"/>
      <c r="J133" s="155"/>
    </row>
    <row r="134" spans="2:10">
      <c r="B134" s="139" t="s">
        <v>270</v>
      </c>
      <c r="C134" s="140" t="s">
        <v>549</v>
      </c>
      <c r="D134" s="175" t="s">
        <v>160</v>
      </c>
      <c r="E134" s="141" t="s">
        <v>859</v>
      </c>
      <c r="F134" s="140">
        <v>80</v>
      </c>
      <c r="G134" s="140">
        <v>80</v>
      </c>
      <c r="H134" s="179">
        <v>6367567.7800000003</v>
      </c>
      <c r="I134" s="154"/>
      <c r="J134" s="155"/>
    </row>
    <row r="135" spans="2:10">
      <c r="B135" s="139" t="s">
        <v>271</v>
      </c>
      <c r="C135" s="140" t="s">
        <v>549</v>
      </c>
      <c r="D135" s="175" t="s">
        <v>144</v>
      </c>
      <c r="E135" s="141" t="s">
        <v>860</v>
      </c>
      <c r="F135" s="140">
        <v>28</v>
      </c>
      <c r="G135" s="140">
        <v>34</v>
      </c>
      <c r="H135" s="179">
        <v>1704220.47</v>
      </c>
      <c r="I135" s="154"/>
      <c r="J135" s="155"/>
    </row>
    <row r="136" spans="2:10">
      <c r="B136" s="139" t="s">
        <v>272</v>
      </c>
      <c r="C136" s="140" t="s">
        <v>549</v>
      </c>
      <c r="D136" s="175" t="s">
        <v>142</v>
      </c>
      <c r="E136" s="141" t="s">
        <v>861</v>
      </c>
      <c r="F136" s="140">
        <v>40</v>
      </c>
      <c r="G136" s="140">
        <v>57</v>
      </c>
      <c r="H136" s="179">
        <v>3637379.77</v>
      </c>
      <c r="I136" s="154"/>
      <c r="J136" s="155"/>
    </row>
    <row r="137" spans="2:10">
      <c r="B137" s="139" t="s">
        <v>273</v>
      </c>
      <c r="C137" s="140" t="s">
        <v>549</v>
      </c>
      <c r="D137" s="175" t="s">
        <v>153</v>
      </c>
      <c r="E137" s="141" t="s">
        <v>862</v>
      </c>
      <c r="F137" s="140">
        <v>40</v>
      </c>
      <c r="G137" s="140">
        <v>40</v>
      </c>
      <c r="H137" s="179">
        <v>10610305.050000001</v>
      </c>
      <c r="I137" s="154"/>
      <c r="J137" s="155"/>
    </row>
    <row r="138" spans="2:10">
      <c r="B138" s="139" t="s">
        <v>274</v>
      </c>
      <c r="C138" s="140" t="s">
        <v>549</v>
      </c>
      <c r="D138" s="175" t="s">
        <v>153</v>
      </c>
      <c r="E138" s="141" t="s">
        <v>863</v>
      </c>
      <c r="F138" s="140">
        <v>99</v>
      </c>
      <c r="G138" s="140">
        <v>99</v>
      </c>
      <c r="H138" s="179">
        <v>25193210.859999999</v>
      </c>
      <c r="I138" s="154"/>
      <c r="J138" s="155"/>
    </row>
    <row r="139" spans="2:10">
      <c r="B139" s="139" t="s">
        <v>618</v>
      </c>
      <c r="C139" s="140" t="s">
        <v>547</v>
      </c>
      <c r="D139" s="175" t="s">
        <v>153</v>
      </c>
      <c r="E139" s="141" t="s">
        <v>864</v>
      </c>
      <c r="F139" s="140">
        <v>45</v>
      </c>
      <c r="G139" s="140">
        <v>45</v>
      </c>
      <c r="H139" s="179">
        <v>6154573.3899999997</v>
      </c>
      <c r="I139" s="154"/>
      <c r="J139" s="155"/>
    </row>
    <row r="140" spans="2:10">
      <c r="B140" s="139" t="s">
        <v>275</v>
      </c>
      <c r="C140" s="140" t="s">
        <v>549</v>
      </c>
      <c r="D140" s="175" t="s">
        <v>98</v>
      </c>
      <c r="E140" s="141" t="s">
        <v>865</v>
      </c>
      <c r="F140" s="140">
        <v>17</v>
      </c>
      <c r="G140" s="140">
        <v>17</v>
      </c>
      <c r="H140" s="179">
        <v>1408175.46</v>
      </c>
      <c r="I140" s="154"/>
      <c r="J140" s="155"/>
    </row>
    <row r="141" spans="2:10">
      <c r="B141" s="139" t="s">
        <v>866</v>
      </c>
      <c r="C141" s="140" t="s">
        <v>547</v>
      </c>
      <c r="D141" s="175" t="s">
        <v>137</v>
      </c>
      <c r="E141" s="141" t="s">
        <v>867</v>
      </c>
      <c r="F141" s="140">
        <v>100</v>
      </c>
      <c r="G141" s="140">
        <v>100</v>
      </c>
      <c r="H141" s="179">
        <v>6360599.04</v>
      </c>
      <c r="I141" s="154"/>
      <c r="J141" s="155"/>
    </row>
    <row r="142" spans="2:10">
      <c r="B142" s="139" t="s">
        <v>276</v>
      </c>
      <c r="C142" s="140" t="s">
        <v>549</v>
      </c>
      <c r="D142" s="175" t="s">
        <v>153</v>
      </c>
      <c r="E142" s="141" t="s">
        <v>868</v>
      </c>
      <c r="F142" s="140">
        <v>89</v>
      </c>
      <c r="G142" s="140">
        <v>105</v>
      </c>
      <c r="H142" s="179">
        <v>22153867.850000001</v>
      </c>
      <c r="I142" s="154"/>
      <c r="J142" s="155"/>
    </row>
    <row r="143" spans="2:10">
      <c r="B143" s="139" t="s">
        <v>277</v>
      </c>
      <c r="C143" s="140" t="s">
        <v>549</v>
      </c>
      <c r="D143" s="175" t="s">
        <v>99</v>
      </c>
      <c r="E143" s="141" t="s">
        <v>869</v>
      </c>
      <c r="F143" s="140">
        <v>28</v>
      </c>
      <c r="G143" s="140">
        <v>28</v>
      </c>
      <c r="H143" s="179">
        <v>3653510.18</v>
      </c>
      <c r="I143" s="154"/>
      <c r="J143" s="155"/>
    </row>
    <row r="144" spans="2:10">
      <c r="B144" s="139" t="s">
        <v>619</v>
      </c>
      <c r="C144" s="140" t="s">
        <v>547</v>
      </c>
      <c r="D144" s="175" t="s">
        <v>139</v>
      </c>
      <c r="E144" s="141" t="s">
        <v>870</v>
      </c>
      <c r="F144" s="140">
        <v>33</v>
      </c>
      <c r="G144" s="140">
        <v>35</v>
      </c>
      <c r="H144" s="179">
        <v>1199114.3899999999</v>
      </c>
      <c r="I144" s="154"/>
      <c r="J144" s="155"/>
    </row>
    <row r="145" spans="2:10">
      <c r="B145" s="139" t="s">
        <v>278</v>
      </c>
      <c r="C145" s="140" t="s">
        <v>547</v>
      </c>
      <c r="D145" s="175" t="s">
        <v>125</v>
      </c>
      <c r="E145" s="141" t="s">
        <v>871</v>
      </c>
      <c r="F145" s="140">
        <v>34</v>
      </c>
      <c r="G145" s="140">
        <v>34</v>
      </c>
      <c r="H145" s="179">
        <v>1182152.57</v>
      </c>
      <c r="I145" s="154"/>
      <c r="J145" s="155"/>
    </row>
    <row r="146" spans="2:10">
      <c r="B146" s="139" t="s">
        <v>279</v>
      </c>
      <c r="C146" s="140" t="s">
        <v>549</v>
      </c>
      <c r="D146" s="175" t="s">
        <v>125</v>
      </c>
      <c r="E146" s="141" t="s">
        <v>872</v>
      </c>
      <c r="F146" s="140">
        <v>49</v>
      </c>
      <c r="G146" s="140">
        <v>70</v>
      </c>
      <c r="H146" s="179">
        <v>3626181.81</v>
      </c>
      <c r="I146" s="154"/>
      <c r="J146" s="155"/>
    </row>
    <row r="147" spans="2:10">
      <c r="B147" s="139" t="s">
        <v>280</v>
      </c>
      <c r="C147" s="140" t="s">
        <v>549</v>
      </c>
      <c r="D147" s="175" t="s">
        <v>139</v>
      </c>
      <c r="E147" s="141" t="s">
        <v>873</v>
      </c>
      <c r="F147" s="140">
        <v>64</v>
      </c>
      <c r="G147" s="140">
        <v>70</v>
      </c>
      <c r="H147" s="179">
        <v>10743432.869999999</v>
      </c>
      <c r="I147" s="154"/>
      <c r="J147" s="155"/>
    </row>
    <row r="148" spans="2:10">
      <c r="B148" s="139" t="s">
        <v>281</v>
      </c>
      <c r="C148" s="140" t="s">
        <v>549</v>
      </c>
      <c r="D148" s="175" t="s">
        <v>158</v>
      </c>
      <c r="E148" s="141" t="s">
        <v>874</v>
      </c>
      <c r="F148" s="140">
        <v>8</v>
      </c>
      <c r="G148" s="140">
        <v>8</v>
      </c>
      <c r="H148" s="179">
        <v>407049.26</v>
      </c>
      <c r="I148" s="154"/>
      <c r="J148" s="155"/>
    </row>
    <row r="149" spans="2:10">
      <c r="B149" s="139" t="s">
        <v>282</v>
      </c>
      <c r="C149" s="140" t="s">
        <v>549</v>
      </c>
      <c r="D149" s="175" t="s">
        <v>136</v>
      </c>
      <c r="E149" s="141" t="s">
        <v>875</v>
      </c>
      <c r="F149" s="140">
        <v>46</v>
      </c>
      <c r="G149" s="140">
        <v>46</v>
      </c>
      <c r="H149" s="179">
        <v>4156915.64</v>
      </c>
      <c r="I149" s="154"/>
      <c r="J149" s="155"/>
    </row>
    <row r="150" spans="2:10">
      <c r="B150" s="139" t="s">
        <v>283</v>
      </c>
      <c r="C150" s="140" t="s">
        <v>547</v>
      </c>
      <c r="D150" s="175" t="s">
        <v>146</v>
      </c>
      <c r="E150" s="141" t="s">
        <v>876</v>
      </c>
      <c r="F150" s="140">
        <v>25</v>
      </c>
      <c r="G150" s="140">
        <v>25</v>
      </c>
      <c r="H150" s="179">
        <v>852050.11</v>
      </c>
      <c r="I150" s="154"/>
      <c r="J150" s="155"/>
    </row>
    <row r="151" spans="2:10">
      <c r="B151" s="139" t="s">
        <v>284</v>
      </c>
      <c r="C151" s="140" t="s">
        <v>549</v>
      </c>
      <c r="D151" s="175" t="s">
        <v>107</v>
      </c>
      <c r="E151" s="141" t="s">
        <v>877</v>
      </c>
      <c r="F151" s="140">
        <v>85</v>
      </c>
      <c r="G151" s="140">
        <v>95</v>
      </c>
      <c r="H151" s="179">
        <v>15406229.4</v>
      </c>
      <c r="I151" s="154"/>
      <c r="J151" s="155"/>
    </row>
    <row r="152" spans="2:10">
      <c r="B152" s="139" t="s">
        <v>620</v>
      </c>
      <c r="C152" s="140" t="s">
        <v>547</v>
      </c>
      <c r="D152" s="175" t="s">
        <v>111</v>
      </c>
      <c r="E152" s="141" t="s">
        <v>878</v>
      </c>
      <c r="F152" s="140">
        <v>82</v>
      </c>
      <c r="G152" s="140">
        <v>82</v>
      </c>
      <c r="H152" s="179">
        <v>11603986.92</v>
      </c>
      <c r="I152" s="154"/>
      <c r="J152" s="155"/>
    </row>
    <row r="153" spans="2:10">
      <c r="B153" s="139" t="s">
        <v>285</v>
      </c>
      <c r="C153" s="140" t="s">
        <v>547</v>
      </c>
      <c r="D153" s="175" t="s">
        <v>124</v>
      </c>
      <c r="E153" s="141" t="s">
        <v>879</v>
      </c>
      <c r="F153" s="140">
        <v>35</v>
      </c>
      <c r="G153" s="140">
        <v>35</v>
      </c>
      <c r="H153" s="179">
        <v>1682833.62</v>
      </c>
      <c r="I153" s="154"/>
      <c r="J153" s="155"/>
    </row>
    <row r="154" spans="2:10">
      <c r="B154" s="139" t="s">
        <v>286</v>
      </c>
      <c r="C154" s="140" t="s">
        <v>547</v>
      </c>
      <c r="D154" s="175" t="s">
        <v>109</v>
      </c>
      <c r="E154" s="141" t="s">
        <v>880</v>
      </c>
      <c r="F154" s="140">
        <v>30</v>
      </c>
      <c r="G154" s="140">
        <v>52</v>
      </c>
      <c r="H154" s="179">
        <v>274724.98</v>
      </c>
      <c r="I154" s="154"/>
      <c r="J154" s="155"/>
    </row>
    <row r="155" spans="2:10">
      <c r="B155" s="139" t="s">
        <v>287</v>
      </c>
      <c r="C155" s="140" t="s">
        <v>549</v>
      </c>
      <c r="D155" s="175" t="s">
        <v>117</v>
      </c>
      <c r="E155" s="141" t="s">
        <v>881</v>
      </c>
      <c r="F155" s="140">
        <v>39</v>
      </c>
      <c r="G155" s="140">
        <v>40</v>
      </c>
      <c r="H155" s="179">
        <v>3012772.08</v>
      </c>
      <c r="I155" s="154"/>
      <c r="J155" s="155"/>
    </row>
    <row r="156" spans="2:10">
      <c r="B156" s="139" t="s">
        <v>288</v>
      </c>
      <c r="C156" s="140" t="s">
        <v>549</v>
      </c>
      <c r="D156" s="175" t="s">
        <v>117</v>
      </c>
      <c r="E156" s="141" t="s">
        <v>882</v>
      </c>
      <c r="F156" s="140">
        <v>50</v>
      </c>
      <c r="G156" s="140">
        <v>60</v>
      </c>
      <c r="H156" s="179">
        <v>6243661.6699999999</v>
      </c>
      <c r="I156" s="154"/>
      <c r="J156" s="155"/>
    </row>
    <row r="157" spans="2:10">
      <c r="B157" s="139" t="s">
        <v>289</v>
      </c>
      <c r="C157" s="140" t="s">
        <v>547</v>
      </c>
      <c r="D157" s="175" t="s">
        <v>117</v>
      </c>
      <c r="E157" s="141" t="s">
        <v>883</v>
      </c>
      <c r="F157" s="140">
        <v>105</v>
      </c>
      <c r="G157" s="140">
        <v>105</v>
      </c>
      <c r="H157" s="179">
        <v>10080329.09</v>
      </c>
      <c r="I157" s="154"/>
      <c r="J157" s="155"/>
    </row>
    <row r="158" spans="2:10">
      <c r="B158" s="139" t="s">
        <v>621</v>
      </c>
      <c r="C158" s="140" t="s">
        <v>547</v>
      </c>
      <c r="D158" s="175" t="s">
        <v>117</v>
      </c>
      <c r="E158" s="141" t="s">
        <v>884</v>
      </c>
      <c r="F158" s="140">
        <v>72</v>
      </c>
      <c r="G158" s="140">
        <v>72</v>
      </c>
      <c r="H158" s="179">
        <v>5833694.1600000001</v>
      </c>
      <c r="I158" s="154"/>
      <c r="J158" s="155"/>
    </row>
    <row r="159" spans="2:10">
      <c r="B159" s="139" t="s">
        <v>290</v>
      </c>
      <c r="C159" s="140" t="s">
        <v>549</v>
      </c>
      <c r="D159" s="175" t="s">
        <v>96</v>
      </c>
      <c r="E159" s="141" t="s">
        <v>885</v>
      </c>
      <c r="F159" s="140">
        <v>28</v>
      </c>
      <c r="G159" s="140">
        <v>42</v>
      </c>
      <c r="H159" s="179">
        <v>1836075.35</v>
      </c>
      <c r="I159" s="154"/>
      <c r="J159" s="155"/>
    </row>
    <row r="160" spans="2:10">
      <c r="B160" s="139" t="s">
        <v>291</v>
      </c>
      <c r="C160" s="140" t="s">
        <v>549</v>
      </c>
      <c r="D160" s="175" t="s">
        <v>122</v>
      </c>
      <c r="E160" s="141" t="s">
        <v>886</v>
      </c>
      <c r="F160" s="140">
        <v>86</v>
      </c>
      <c r="G160" s="140">
        <v>86</v>
      </c>
      <c r="H160" s="179">
        <v>23133379.34</v>
      </c>
      <c r="I160" s="154"/>
      <c r="J160" s="155"/>
    </row>
    <row r="161" spans="2:10">
      <c r="B161" s="139" t="s">
        <v>292</v>
      </c>
      <c r="C161" s="140" t="s">
        <v>549</v>
      </c>
      <c r="D161" s="175" t="s">
        <v>103</v>
      </c>
      <c r="E161" s="141" t="s">
        <v>887</v>
      </c>
      <c r="F161" s="140">
        <v>50</v>
      </c>
      <c r="G161" s="140">
        <v>50</v>
      </c>
      <c r="H161" s="179">
        <v>9944358.9399999995</v>
      </c>
      <c r="I161" s="154"/>
      <c r="J161" s="155"/>
    </row>
    <row r="162" spans="2:10">
      <c r="B162" s="139" t="s">
        <v>622</v>
      </c>
      <c r="C162" s="140" t="s">
        <v>547</v>
      </c>
      <c r="D162" s="175" t="s">
        <v>139</v>
      </c>
      <c r="E162" s="141" t="s">
        <v>888</v>
      </c>
      <c r="F162" s="140">
        <v>40</v>
      </c>
      <c r="G162" s="140">
        <v>50</v>
      </c>
      <c r="H162" s="179">
        <v>6058952.7300000004</v>
      </c>
      <c r="I162" s="154"/>
      <c r="J162" s="155"/>
    </row>
    <row r="163" spans="2:10">
      <c r="B163" s="139" t="s">
        <v>293</v>
      </c>
      <c r="C163" s="140" t="s">
        <v>549</v>
      </c>
      <c r="D163" s="175" t="s">
        <v>133</v>
      </c>
      <c r="E163" s="141" t="s">
        <v>889</v>
      </c>
      <c r="F163" s="140">
        <v>45</v>
      </c>
      <c r="G163" s="140">
        <v>45</v>
      </c>
      <c r="H163" s="179">
        <v>10293535.550000001</v>
      </c>
      <c r="I163" s="154"/>
      <c r="J163" s="155"/>
    </row>
    <row r="164" spans="2:10">
      <c r="B164" s="139" t="s">
        <v>294</v>
      </c>
      <c r="C164" s="140" t="s">
        <v>549</v>
      </c>
      <c r="D164" s="175" t="s">
        <v>132</v>
      </c>
      <c r="E164" s="141" t="s">
        <v>890</v>
      </c>
      <c r="F164" s="140">
        <v>60</v>
      </c>
      <c r="G164" s="140">
        <v>60</v>
      </c>
      <c r="H164" s="179">
        <v>9284502.0600000005</v>
      </c>
      <c r="I164" s="154"/>
      <c r="J164" s="155"/>
    </row>
    <row r="165" spans="2:10">
      <c r="B165" s="139" t="s">
        <v>891</v>
      </c>
      <c r="C165" s="140" t="s">
        <v>549</v>
      </c>
      <c r="D165" s="175" t="s">
        <v>96</v>
      </c>
      <c r="E165" s="141" t="s">
        <v>892</v>
      </c>
      <c r="F165" s="140">
        <v>105</v>
      </c>
      <c r="G165" s="140">
        <v>105</v>
      </c>
      <c r="H165" s="179">
        <v>13514229.140000001</v>
      </c>
      <c r="I165" s="154"/>
      <c r="J165" s="155"/>
    </row>
    <row r="166" spans="2:10">
      <c r="B166" s="139" t="s">
        <v>295</v>
      </c>
      <c r="C166" s="140" t="s">
        <v>549</v>
      </c>
      <c r="D166" s="175" t="s">
        <v>96</v>
      </c>
      <c r="E166" s="141" t="s">
        <v>893</v>
      </c>
      <c r="F166" s="140">
        <v>30</v>
      </c>
      <c r="G166" s="140">
        <v>30</v>
      </c>
      <c r="H166" s="179">
        <v>1893364.75</v>
      </c>
      <c r="I166" s="154"/>
      <c r="J166" s="155"/>
    </row>
    <row r="167" spans="2:10">
      <c r="B167" s="139" t="s">
        <v>296</v>
      </c>
      <c r="C167" s="140" t="s">
        <v>549</v>
      </c>
      <c r="D167" s="175" t="s">
        <v>113</v>
      </c>
      <c r="E167" s="141" t="s">
        <v>894</v>
      </c>
      <c r="F167" s="140">
        <v>23</v>
      </c>
      <c r="G167" s="140">
        <v>23</v>
      </c>
      <c r="H167" s="179">
        <v>1806839.5</v>
      </c>
      <c r="I167" s="154"/>
      <c r="J167" s="155"/>
    </row>
    <row r="168" spans="2:10">
      <c r="B168" s="139" t="s">
        <v>297</v>
      </c>
      <c r="C168" s="140" t="s">
        <v>549</v>
      </c>
      <c r="D168" s="175" t="s">
        <v>118</v>
      </c>
      <c r="E168" s="141" t="s">
        <v>895</v>
      </c>
      <c r="F168" s="140">
        <v>40</v>
      </c>
      <c r="G168" s="140">
        <v>40</v>
      </c>
      <c r="H168" s="179">
        <v>6056557.8099999996</v>
      </c>
      <c r="I168" s="154"/>
      <c r="J168" s="155"/>
    </row>
    <row r="169" spans="2:10">
      <c r="B169" s="139" t="s">
        <v>298</v>
      </c>
      <c r="C169" s="140" t="s">
        <v>549</v>
      </c>
      <c r="D169" s="175" t="s">
        <v>28</v>
      </c>
      <c r="E169" s="141" t="s">
        <v>896</v>
      </c>
      <c r="F169" s="140">
        <v>40</v>
      </c>
      <c r="G169" s="140">
        <v>40</v>
      </c>
      <c r="H169" s="179">
        <v>3635415.56</v>
      </c>
      <c r="I169" s="154"/>
      <c r="J169" s="155"/>
    </row>
    <row r="170" spans="2:10">
      <c r="B170" s="139" t="s">
        <v>897</v>
      </c>
      <c r="C170" s="140" t="s">
        <v>549</v>
      </c>
      <c r="D170" s="175" t="s">
        <v>28</v>
      </c>
      <c r="E170" s="141" t="s">
        <v>896</v>
      </c>
      <c r="F170" s="140">
        <v>0</v>
      </c>
      <c r="G170" s="140">
        <v>0</v>
      </c>
      <c r="H170" s="179">
        <v>681278.98</v>
      </c>
      <c r="I170" s="154"/>
      <c r="J170" s="155"/>
    </row>
    <row r="171" spans="2:10">
      <c r="B171" s="139" t="s">
        <v>299</v>
      </c>
      <c r="C171" s="140" t="s">
        <v>549</v>
      </c>
      <c r="D171" s="175" t="s">
        <v>111</v>
      </c>
      <c r="E171" s="141" t="s">
        <v>898</v>
      </c>
      <c r="F171" s="140">
        <v>64</v>
      </c>
      <c r="G171" s="140">
        <v>64</v>
      </c>
      <c r="H171" s="179">
        <v>6041904.7199999997</v>
      </c>
      <c r="I171" s="154"/>
      <c r="J171" s="155"/>
    </row>
    <row r="172" spans="2:10">
      <c r="B172" s="139" t="s">
        <v>300</v>
      </c>
      <c r="C172" s="140" t="s">
        <v>549</v>
      </c>
      <c r="D172" s="175" t="s">
        <v>140</v>
      </c>
      <c r="E172" s="141" t="s">
        <v>899</v>
      </c>
      <c r="F172" s="140">
        <v>70</v>
      </c>
      <c r="G172" s="140">
        <v>70</v>
      </c>
      <c r="H172" s="179">
        <v>10893552.65</v>
      </c>
      <c r="I172" s="154"/>
      <c r="J172" s="155"/>
    </row>
    <row r="173" spans="2:10">
      <c r="B173" s="139" t="s">
        <v>301</v>
      </c>
      <c r="C173" s="140" t="s">
        <v>549</v>
      </c>
      <c r="D173" s="175" t="s">
        <v>126</v>
      </c>
      <c r="E173" s="141" t="s">
        <v>900</v>
      </c>
      <c r="F173" s="140">
        <v>34</v>
      </c>
      <c r="G173" s="140">
        <v>34</v>
      </c>
      <c r="H173" s="179">
        <v>6428166.8099999996</v>
      </c>
      <c r="I173" s="154"/>
      <c r="J173" s="155"/>
    </row>
    <row r="174" spans="2:10">
      <c r="B174" s="139" t="s">
        <v>581</v>
      </c>
      <c r="C174" s="140" t="s">
        <v>549</v>
      </c>
      <c r="D174" s="175" t="s">
        <v>901</v>
      </c>
      <c r="E174" s="141" t="s">
        <v>902</v>
      </c>
      <c r="F174" s="140">
        <v>15</v>
      </c>
      <c r="G174" s="140">
        <v>19</v>
      </c>
      <c r="H174" s="179">
        <v>1522786.97</v>
      </c>
      <c r="I174" s="154"/>
      <c r="J174" s="155"/>
    </row>
    <row r="175" spans="2:10">
      <c r="B175" s="139" t="s">
        <v>302</v>
      </c>
      <c r="C175" s="140" t="s">
        <v>549</v>
      </c>
      <c r="D175" s="175" t="s">
        <v>110</v>
      </c>
      <c r="E175" s="141" t="s">
        <v>903</v>
      </c>
      <c r="F175" s="140">
        <v>24</v>
      </c>
      <c r="G175" s="140">
        <v>35</v>
      </c>
      <c r="H175" s="179">
        <v>2848363.41</v>
      </c>
      <c r="I175" s="154"/>
      <c r="J175" s="155"/>
    </row>
    <row r="176" spans="2:10">
      <c r="B176" s="139" t="s">
        <v>303</v>
      </c>
      <c r="C176" s="140" t="s">
        <v>549</v>
      </c>
      <c r="D176" s="175" t="s">
        <v>117</v>
      </c>
      <c r="E176" s="141" t="s">
        <v>904</v>
      </c>
      <c r="F176" s="140">
        <v>36</v>
      </c>
      <c r="G176" s="140">
        <v>36</v>
      </c>
      <c r="H176" s="179">
        <v>3856164.11</v>
      </c>
      <c r="I176" s="154"/>
      <c r="J176" s="155"/>
    </row>
    <row r="177" spans="2:10">
      <c r="B177" s="139" t="s">
        <v>304</v>
      </c>
      <c r="C177" s="140" t="s">
        <v>547</v>
      </c>
      <c r="D177" s="175" t="s">
        <v>103</v>
      </c>
      <c r="E177" s="141" t="s">
        <v>905</v>
      </c>
      <c r="F177" s="140">
        <v>70</v>
      </c>
      <c r="G177" s="140">
        <v>70</v>
      </c>
      <c r="H177" s="179">
        <v>5980693.7400000002</v>
      </c>
      <c r="I177" s="154"/>
      <c r="J177" s="155"/>
    </row>
    <row r="178" spans="2:10">
      <c r="B178" s="139" t="s">
        <v>305</v>
      </c>
      <c r="C178" s="140" t="s">
        <v>549</v>
      </c>
      <c r="D178" s="175" t="s">
        <v>97</v>
      </c>
      <c r="E178" s="141" t="s">
        <v>906</v>
      </c>
      <c r="F178" s="140">
        <v>30</v>
      </c>
      <c r="G178" s="140">
        <v>30</v>
      </c>
      <c r="H178" s="179">
        <v>2379542.54</v>
      </c>
      <c r="I178" s="154"/>
      <c r="J178" s="155"/>
    </row>
    <row r="179" spans="2:10">
      <c r="B179" s="139" t="s">
        <v>623</v>
      </c>
      <c r="C179" s="140" t="s">
        <v>547</v>
      </c>
      <c r="D179" s="175" t="s">
        <v>97</v>
      </c>
      <c r="E179" s="141" t="s">
        <v>907</v>
      </c>
      <c r="F179" s="140">
        <v>78</v>
      </c>
      <c r="G179" s="140">
        <v>78</v>
      </c>
      <c r="H179" s="179">
        <v>5954229.3300000001</v>
      </c>
      <c r="I179" s="154"/>
      <c r="J179" s="155"/>
    </row>
    <row r="180" spans="2:10">
      <c r="B180" s="139" t="s">
        <v>306</v>
      </c>
      <c r="C180" s="140" t="s">
        <v>547</v>
      </c>
      <c r="D180" s="175" t="s">
        <v>116</v>
      </c>
      <c r="E180" s="141" t="s">
        <v>908</v>
      </c>
      <c r="F180" s="140">
        <v>93</v>
      </c>
      <c r="G180" s="140">
        <v>93</v>
      </c>
      <c r="H180" s="179">
        <v>14417588.42</v>
      </c>
      <c r="I180" s="154"/>
      <c r="J180" s="155"/>
    </row>
    <row r="181" spans="2:10">
      <c r="B181" s="139" t="s">
        <v>307</v>
      </c>
      <c r="C181" s="140" t="s">
        <v>549</v>
      </c>
      <c r="D181" s="175" t="s">
        <v>144</v>
      </c>
      <c r="E181" s="141" t="s">
        <v>909</v>
      </c>
      <c r="F181" s="140">
        <v>22</v>
      </c>
      <c r="G181" s="140">
        <v>62</v>
      </c>
      <c r="H181" s="179">
        <v>644387.06000000006</v>
      </c>
      <c r="I181" s="154"/>
      <c r="J181" s="155"/>
    </row>
    <row r="182" spans="2:10">
      <c r="B182" s="139" t="s">
        <v>308</v>
      </c>
      <c r="C182" s="140" t="s">
        <v>549</v>
      </c>
      <c r="D182" s="175" t="s">
        <v>117</v>
      </c>
      <c r="E182" s="141" t="s">
        <v>910</v>
      </c>
      <c r="F182" s="140">
        <v>80</v>
      </c>
      <c r="G182" s="140">
        <v>80</v>
      </c>
      <c r="H182" s="179">
        <v>11864387.67</v>
      </c>
      <c r="I182" s="154"/>
      <c r="J182" s="155"/>
    </row>
    <row r="183" spans="2:10">
      <c r="B183" s="139" t="s">
        <v>309</v>
      </c>
      <c r="C183" s="140" t="s">
        <v>549</v>
      </c>
      <c r="D183" s="175" t="s">
        <v>107</v>
      </c>
      <c r="E183" s="141" t="s">
        <v>911</v>
      </c>
      <c r="F183" s="140">
        <v>80</v>
      </c>
      <c r="G183" s="140">
        <v>92</v>
      </c>
      <c r="H183" s="179">
        <v>15205260.300000001</v>
      </c>
      <c r="I183" s="154"/>
      <c r="J183" s="155"/>
    </row>
    <row r="184" spans="2:10">
      <c r="B184" s="139" t="s">
        <v>912</v>
      </c>
      <c r="C184" s="140" t="s">
        <v>547</v>
      </c>
      <c r="D184" s="175" t="s">
        <v>100</v>
      </c>
      <c r="E184" s="141" t="s">
        <v>913</v>
      </c>
      <c r="F184" s="140">
        <v>0</v>
      </c>
      <c r="G184" s="140">
        <v>0</v>
      </c>
      <c r="H184" s="179">
        <v>35340.239999999998</v>
      </c>
      <c r="I184" s="154"/>
      <c r="J184" s="155"/>
    </row>
    <row r="185" spans="2:10">
      <c r="B185" s="139" t="s">
        <v>311</v>
      </c>
      <c r="C185" s="140" t="s">
        <v>549</v>
      </c>
      <c r="D185" s="175" t="s">
        <v>107</v>
      </c>
      <c r="E185" s="141" t="s">
        <v>914</v>
      </c>
      <c r="F185" s="140">
        <v>73</v>
      </c>
      <c r="G185" s="140">
        <v>73</v>
      </c>
      <c r="H185" s="179">
        <v>16523694.310000001</v>
      </c>
      <c r="I185" s="154"/>
      <c r="J185" s="155"/>
    </row>
    <row r="186" spans="2:10">
      <c r="B186" s="139" t="s">
        <v>312</v>
      </c>
      <c r="C186" s="140" t="s">
        <v>549</v>
      </c>
      <c r="D186" s="175" t="s">
        <v>102</v>
      </c>
      <c r="E186" s="141" t="s">
        <v>915</v>
      </c>
      <c r="F186" s="140">
        <v>47</v>
      </c>
      <c r="G186" s="140">
        <v>47</v>
      </c>
      <c r="H186" s="179">
        <v>7856759.1100000003</v>
      </c>
      <c r="I186" s="154"/>
      <c r="J186" s="155"/>
    </row>
    <row r="187" spans="2:10">
      <c r="B187" s="139" t="s">
        <v>313</v>
      </c>
      <c r="C187" s="140" t="s">
        <v>547</v>
      </c>
      <c r="D187" s="175" t="s">
        <v>140</v>
      </c>
      <c r="E187" s="141" t="s">
        <v>916</v>
      </c>
      <c r="F187" s="140">
        <v>50</v>
      </c>
      <c r="G187" s="140">
        <v>50</v>
      </c>
      <c r="H187" s="179">
        <v>2222892.79</v>
      </c>
      <c r="I187" s="154"/>
      <c r="J187" s="155"/>
    </row>
    <row r="188" spans="2:10">
      <c r="B188" s="139" t="s">
        <v>575</v>
      </c>
      <c r="C188" s="140" t="s">
        <v>547</v>
      </c>
      <c r="D188" s="175" t="s">
        <v>132</v>
      </c>
      <c r="E188" s="141" t="s">
        <v>917</v>
      </c>
      <c r="F188" s="140">
        <v>80</v>
      </c>
      <c r="G188" s="140">
        <v>80</v>
      </c>
      <c r="H188" s="179">
        <v>2753722.15</v>
      </c>
      <c r="I188" s="154"/>
      <c r="J188" s="155"/>
    </row>
    <row r="189" spans="2:10">
      <c r="B189" s="139" t="s">
        <v>624</v>
      </c>
      <c r="C189" s="140" t="s">
        <v>547</v>
      </c>
      <c r="D189" s="175" t="s">
        <v>156</v>
      </c>
      <c r="E189" s="141" t="s">
        <v>918</v>
      </c>
      <c r="F189" s="140">
        <v>50</v>
      </c>
      <c r="G189" s="140">
        <v>50</v>
      </c>
      <c r="H189" s="179">
        <v>2500984.36</v>
      </c>
      <c r="I189" s="154"/>
      <c r="J189" s="155"/>
    </row>
    <row r="190" spans="2:10">
      <c r="B190" s="139" t="s">
        <v>314</v>
      </c>
      <c r="C190" s="140" t="s">
        <v>547</v>
      </c>
      <c r="D190" s="175" t="s">
        <v>124</v>
      </c>
      <c r="E190" s="141" t="s">
        <v>919</v>
      </c>
      <c r="F190" s="140">
        <v>41</v>
      </c>
      <c r="G190" s="140">
        <v>41</v>
      </c>
      <c r="H190" s="179">
        <v>2582983.9700000002</v>
      </c>
      <c r="I190" s="154"/>
      <c r="J190" s="155"/>
    </row>
    <row r="191" spans="2:10">
      <c r="B191" s="139" t="s">
        <v>315</v>
      </c>
      <c r="C191" s="140" t="s">
        <v>549</v>
      </c>
      <c r="D191" s="175" t="s">
        <v>122</v>
      </c>
      <c r="E191" s="141" t="s">
        <v>920</v>
      </c>
      <c r="F191" s="140">
        <v>80</v>
      </c>
      <c r="G191" s="140">
        <v>80</v>
      </c>
      <c r="H191" s="179">
        <v>18746505.98</v>
      </c>
      <c r="I191" s="154"/>
      <c r="J191" s="155"/>
    </row>
    <row r="192" spans="2:10">
      <c r="B192" s="139" t="s">
        <v>316</v>
      </c>
      <c r="C192" s="140" t="s">
        <v>549</v>
      </c>
      <c r="D192" s="175" t="s">
        <v>130</v>
      </c>
      <c r="E192" s="141" t="s">
        <v>921</v>
      </c>
      <c r="F192" s="140">
        <v>70</v>
      </c>
      <c r="G192" s="140">
        <v>70</v>
      </c>
      <c r="H192" s="179">
        <v>7947677.0800000001</v>
      </c>
      <c r="I192" s="154"/>
      <c r="J192" s="155"/>
    </row>
    <row r="193" spans="2:10">
      <c r="B193" s="139" t="s">
        <v>317</v>
      </c>
      <c r="C193" s="140" t="s">
        <v>547</v>
      </c>
      <c r="D193" s="175" t="s">
        <v>116</v>
      </c>
      <c r="E193" s="141" t="s">
        <v>922</v>
      </c>
      <c r="F193" s="140">
        <v>90</v>
      </c>
      <c r="G193" s="140">
        <v>90</v>
      </c>
      <c r="H193" s="179">
        <v>21755579.050000001</v>
      </c>
      <c r="I193" s="154"/>
      <c r="J193" s="155"/>
    </row>
    <row r="194" spans="2:10">
      <c r="B194" s="139" t="s">
        <v>318</v>
      </c>
      <c r="C194" s="140" t="s">
        <v>547</v>
      </c>
      <c r="D194" s="175" t="s">
        <v>118</v>
      </c>
      <c r="E194" s="141" t="s">
        <v>923</v>
      </c>
      <c r="F194" s="140">
        <v>10</v>
      </c>
      <c r="G194" s="140">
        <v>20</v>
      </c>
      <c r="H194" s="179">
        <v>547989.25</v>
      </c>
      <c r="I194" s="154"/>
      <c r="J194" s="155"/>
    </row>
    <row r="195" spans="2:10">
      <c r="B195" s="139" t="s">
        <v>319</v>
      </c>
      <c r="C195" s="140" t="s">
        <v>549</v>
      </c>
      <c r="D195" s="175" t="s">
        <v>135</v>
      </c>
      <c r="E195" s="141" t="s">
        <v>924</v>
      </c>
      <c r="F195" s="140">
        <v>65</v>
      </c>
      <c r="G195" s="140">
        <v>65</v>
      </c>
      <c r="H195" s="179">
        <v>6954136.2000000002</v>
      </c>
      <c r="I195" s="154"/>
      <c r="J195" s="155"/>
    </row>
    <row r="196" spans="2:10">
      <c r="B196" s="139" t="s">
        <v>320</v>
      </c>
      <c r="C196" s="140" t="s">
        <v>547</v>
      </c>
      <c r="D196" s="175" t="s">
        <v>154</v>
      </c>
      <c r="E196" s="141" t="s">
        <v>925</v>
      </c>
      <c r="F196" s="140">
        <v>91</v>
      </c>
      <c r="G196" s="140">
        <v>91</v>
      </c>
      <c r="H196" s="179">
        <v>6683072.5099999998</v>
      </c>
      <c r="I196" s="154"/>
      <c r="J196" s="155"/>
    </row>
    <row r="197" spans="2:10">
      <c r="B197" s="139" t="s">
        <v>321</v>
      </c>
      <c r="C197" s="140" t="s">
        <v>547</v>
      </c>
      <c r="D197" s="175" t="s">
        <v>154</v>
      </c>
      <c r="E197" s="141" t="s">
        <v>926</v>
      </c>
      <c r="F197" s="140">
        <v>55</v>
      </c>
      <c r="G197" s="140">
        <v>55</v>
      </c>
      <c r="H197" s="179">
        <v>5609309.9699999997</v>
      </c>
      <c r="I197" s="154"/>
      <c r="J197" s="155"/>
    </row>
    <row r="198" spans="2:10">
      <c r="B198" s="139" t="s">
        <v>625</v>
      </c>
      <c r="C198" s="140" t="s">
        <v>547</v>
      </c>
      <c r="D198" s="175" t="s">
        <v>121</v>
      </c>
      <c r="E198" s="141" t="s">
        <v>927</v>
      </c>
      <c r="F198" s="140">
        <v>36</v>
      </c>
      <c r="G198" s="140">
        <v>36</v>
      </c>
      <c r="H198" s="179">
        <v>2294600.3199999998</v>
      </c>
      <c r="I198" s="154"/>
      <c r="J198" s="155"/>
    </row>
    <row r="199" spans="2:10">
      <c r="B199" s="139" t="s">
        <v>322</v>
      </c>
      <c r="C199" s="140" t="s">
        <v>547</v>
      </c>
      <c r="D199" s="175" t="s">
        <v>121</v>
      </c>
      <c r="E199" s="141" t="s">
        <v>928</v>
      </c>
      <c r="F199" s="140">
        <v>83</v>
      </c>
      <c r="G199" s="140">
        <v>83</v>
      </c>
      <c r="H199" s="179">
        <v>7390735.2599999998</v>
      </c>
      <c r="I199" s="154"/>
      <c r="J199" s="155"/>
    </row>
    <row r="200" spans="2:10">
      <c r="B200" s="139" t="s">
        <v>323</v>
      </c>
      <c r="C200" s="140" t="s">
        <v>549</v>
      </c>
      <c r="D200" s="175" t="s">
        <v>154</v>
      </c>
      <c r="E200" s="141" t="s">
        <v>929</v>
      </c>
      <c r="F200" s="140">
        <v>65</v>
      </c>
      <c r="G200" s="140">
        <v>77</v>
      </c>
      <c r="H200" s="179">
        <v>14846604.130000001</v>
      </c>
      <c r="I200" s="154"/>
      <c r="J200" s="155"/>
    </row>
    <row r="201" spans="2:10">
      <c r="B201" s="139" t="s">
        <v>930</v>
      </c>
      <c r="C201" s="140" t="s">
        <v>547</v>
      </c>
      <c r="D201" s="175" t="s">
        <v>126</v>
      </c>
      <c r="E201" s="141" t="s">
        <v>931</v>
      </c>
      <c r="F201" s="140">
        <v>42</v>
      </c>
      <c r="G201" s="140">
        <v>42</v>
      </c>
      <c r="H201" s="179">
        <v>3946548.33</v>
      </c>
      <c r="I201" s="154"/>
      <c r="J201" s="155"/>
    </row>
    <row r="202" spans="2:10">
      <c r="B202" s="139" t="s">
        <v>324</v>
      </c>
      <c r="C202" s="140" t="s">
        <v>547</v>
      </c>
      <c r="D202" s="175" t="s">
        <v>154</v>
      </c>
      <c r="E202" s="141" t="s">
        <v>932</v>
      </c>
      <c r="F202" s="140">
        <v>70</v>
      </c>
      <c r="G202" s="140">
        <v>70</v>
      </c>
      <c r="H202" s="179">
        <v>7310099.2000000002</v>
      </c>
      <c r="I202" s="154"/>
      <c r="J202" s="155"/>
    </row>
    <row r="203" spans="2:10">
      <c r="B203" s="139" t="s">
        <v>325</v>
      </c>
      <c r="C203" s="140" t="s">
        <v>549</v>
      </c>
      <c r="D203" s="175" t="s">
        <v>97</v>
      </c>
      <c r="E203" s="141" t="s">
        <v>933</v>
      </c>
      <c r="F203" s="140">
        <v>100</v>
      </c>
      <c r="G203" s="140">
        <v>100</v>
      </c>
      <c r="H203" s="179">
        <v>10249775.970000001</v>
      </c>
      <c r="I203" s="154"/>
      <c r="J203" s="155"/>
    </row>
    <row r="204" spans="2:10">
      <c r="B204" s="139" t="s">
        <v>326</v>
      </c>
      <c r="C204" s="140" t="s">
        <v>549</v>
      </c>
      <c r="D204" s="175" t="s">
        <v>117</v>
      </c>
      <c r="E204" s="141" t="s">
        <v>934</v>
      </c>
      <c r="F204" s="140">
        <v>47</v>
      </c>
      <c r="G204" s="140">
        <v>47</v>
      </c>
      <c r="H204" s="179">
        <v>4275487.49</v>
      </c>
      <c r="I204" s="154"/>
      <c r="J204" s="155"/>
    </row>
    <row r="205" spans="2:10">
      <c r="B205" s="139" t="s">
        <v>327</v>
      </c>
      <c r="C205" s="140" t="s">
        <v>549</v>
      </c>
      <c r="D205" s="175" t="s">
        <v>109</v>
      </c>
      <c r="E205" s="141" t="s">
        <v>935</v>
      </c>
      <c r="F205" s="140">
        <v>46</v>
      </c>
      <c r="G205" s="140">
        <v>46</v>
      </c>
      <c r="H205" s="179">
        <v>4809801.22</v>
      </c>
      <c r="I205" s="154"/>
      <c r="J205" s="155"/>
    </row>
    <row r="206" spans="2:10">
      <c r="B206" s="139" t="s">
        <v>328</v>
      </c>
      <c r="C206" s="140" t="s">
        <v>547</v>
      </c>
      <c r="D206" s="175" t="s">
        <v>115</v>
      </c>
      <c r="E206" s="141" t="s">
        <v>936</v>
      </c>
      <c r="F206" s="140">
        <v>60</v>
      </c>
      <c r="G206" s="140">
        <v>60</v>
      </c>
      <c r="H206" s="179">
        <v>3047469.76</v>
      </c>
      <c r="I206" s="154"/>
      <c r="J206" s="155"/>
    </row>
    <row r="207" spans="2:10">
      <c r="B207" s="139" t="s">
        <v>329</v>
      </c>
      <c r="C207" s="140" t="s">
        <v>547</v>
      </c>
      <c r="D207" s="175" t="s">
        <v>111</v>
      </c>
      <c r="E207" s="141" t="s">
        <v>937</v>
      </c>
      <c r="F207" s="140">
        <v>29</v>
      </c>
      <c r="G207" s="140">
        <v>29</v>
      </c>
      <c r="H207" s="179">
        <v>2089877.66</v>
      </c>
      <c r="I207" s="154"/>
      <c r="J207" s="155"/>
    </row>
    <row r="208" spans="2:10">
      <c r="B208" s="139" t="s">
        <v>330</v>
      </c>
      <c r="C208" s="140" t="s">
        <v>549</v>
      </c>
      <c r="D208" s="175" t="s">
        <v>103</v>
      </c>
      <c r="E208" s="141" t="s">
        <v>938</v>
      </c>
      <c r="F208" s="140">
        <v>86</v>
      </c>
      <c r="G208" s="140">
        <v>86</v>
      </c>
      <c r="H208" s="179">
        <v>23726435.859999999</v>
      </c>
      <c r="I208" s="154"/>
      <c r="J208" s="155"/>
    </row>
    <row r="209" spans="2:10">
      <c r="B209" s="139" t="s">
        <v>626</v>
      </c>
      <c r="C209" s="140" t="s">
        <v>547</v>
      </c>
      <c r="D209" s="175" t="s">
        <v>137</v>
      </c>
      <c r="E209" s="141" t="s">
        <v>939</v>
      </c>
      <c r="F209" s="140">
        <v>39</v>
      </c>
      <c r="G209" s="140">
        <v>39</v>
      </c>
      <c r="H209" s="179">
        <v>3116791.85</v>
      </c>
      <c r="I209" s="154"/>
      <c r="J209" s="155"/>
    </row>
    <row r="210" spans="2:10">
      <c r="B210" s="139" t="s">
        <v>331</v>
      </c>
      <c r="C210" s="140" t="s">
        <v>549</v>
      </c>
      <c r="D210" s="175" t="s">
        <v>103</v>
      </c>
      <c r="E210" s="141" t="s">
        <v>940</v>
      </c>
      <c r="F210" s="140">
        <v>50</v>
      </c>
      <c r="G210" s="140">
        <v>50</v>
      </c>
      <c r="H210" s="179">
        <v>6044572.4299999997</v>
      </c>
      <c r="I210" s="154"/>
      <c r="J210" s="155"/>
    </row>
    <row r="211" spans="2:10">
      <c r="B211" s="139" t="s">
        <v>332</v>
      </c>
      <c r="C211" s="140" t="s">
        <v>547</v>
      </c>
      <c r="D211" s="175" t="s">
        <v>21</v>
      </c>
      <c r="E211" s="141" t="s">
        <v>941</v>
      </c>
      <c r="F211" s="140">
        <v>45</v>
      </c>
      <c r="G211" s="140">
        <v>45</v>
      </c>
      <c r="H211" s="179">
        <v>2309731.08</v>
      </c>
      <c r="I211" s="154"/>
      <c r="J211" s="155"/>
    </row>
    <row r="212" spans="2:10">
      <c r="B212" s="139" t="s">
        <v>333</v>
      </c>
      <c r="C212" s="140" t="s">
        <v>549</v>
      </c>
      <c r="D212" s="175" t="s">
        <v>116</v>
      </c>
      <c r="E212" s="141" t="s">
        <v>942</v>
      </c>
      <c r="F212" s="140">
        <v>89</v>
      </c>
      <c r="G212" s="140">
        <v>89</v>
      </c>
      <c r="H212" s="179">
        <v>23603574.140000001</v>
      </c>
      <c r="I212" s="154"/>
      <c r="J212" s="155"/>
    </row>
    <row r="213" spans="2:10">
      <c r="B213" s="139" t="s">
        <v>334</v>
      </c>
      <c r="C213" s="140" t="s">
        <v>547</v>
      </c>
      <c r="D213" s="175" t="s">
        <v>135</v>
      </c>
      <c r="E213" s="141" t="s">
        <v>943</v>
      </c>
      <c r="F213" s="140">
        <v>76</v>
      </c>
      <c r="G213" s="140">
        <v>76</v>
      </c>
      <c r="H213" s="179">
        <v>6943573.0800000001</v>
      </c>
      <c r="I213" s="154"/>
      <c r="J213" s="155"/>
    </row>
    <row r="214" spans="2:10">
      <c r="B214" s="139" t="s">
        <v>335</v>
      </c>
      <c r="C214" s="140" t="s">
        <v>549</v>
      </c>
      <c r="D214" s="175" t="s">
        <v>140</v>
      </c>
      <c r="E214" s="141" t="s">
        <v>944</v>
      </c>
      <c r="F214" s="140">
        <v>33</v>
      </c>
      <c r="G214" s="140">
        <v>33</v>
      </c>
      <c r="H214" s="179">
        <v>4725579.33</v>
      </c>
      <c r="I214" s="154"/>
      <c r="J214" s="155"/>
    </row>
    <row r="215" spans="2:10">
      <c r="B215" s="139" t="s">
        <v>336</v>
      </c>
      <c r="C215" s="140" t="s">
        <v>549</v>
      </c>
      <c r="D215" s="175" t="s">
        <v>140</v>
      </c>
      <c r="E215" s="141" t="s">
        <v>945</v>
      </c>
      <c r="F215" s="140">
        <v>40</v>
      </c>
      <c r="G215" s="140">
        <v>40</v>
      </c>
      <c r="H215" s="179">
        <v>1165774.29</v>
      </c>
      <c r="I215" s="154"/>
      <c r="J215" s="155"/>
    </row>
    <row r="216" spans="2:10">
      <c r="B216" s="139" t="s">
        <v>337</v>
      </c>
      <c r="C216" s="140" t="s">
        <v>547</v>
      </c>
      <c r="D216" s="175" t="s">
        <v>125</v>
      </c>
      <c r="E216" s="141" t="s">
        <v>946</v>
      </c>
      <c r="F216" s="140">
        <v>100</v>
      </c>
      <c r="G216" s="140">
        <v>100</v>
      </c>
      <c r="H216" s="179">
        <v>9006091.7799999993</v>
      </c>
      <c r="I216" s="154"/>
      <c r="J216" s="155"/>
    </row>
    <row r="217" spans="2:10">
      <c r="B217" s="139" t="s">
        <v>338</v>
      </c>
      <c r="C217" s="140" t="s">
        <v>549</v>
      </c>
      <c r="D217" s="175" t="s">
        <v>125</v>
      </c>
      <c r="E217" s="141" t="s">
        <v>947</v>
      </c>
      <c r="F217" s="140">
        <v>77</v>
      </c>
      <c r="G217" s="140">
        <v>77</v>
      </c>
      <c r="H217" s="179">
        <v>7971444.1600000001</v>
      </c>
      <c r="I217" s="154"/>
      <c r="J217" s="155"/>
    </row>
    <row r="218" spans="2:10">
      <c r="B218" s="139" t="s">
        <v>339</v>
      </c>
      <c r="C218" s="140" t="s">
        <v>547</v>
      </c>
      <c r="D218" s="175" t="s">
        <v>120</v>
      </c>
      <c r="E218" s="141" t="s">
        <v>948</v>
      </c>
      <c r="F218" s="140">
        <v>61</v>
      </c>
      <c r="G218" s="140">
        <v>61</v>
      </c>
      <c r="H218" s="179">
        <v>3876744.76</v>
      </c>
      <c r="I218" s="154"/>
      <c r="J218" s="155"/>
    </row>
    <row r="219" spans="2:10">
      <c r="B219" s="139" t="s">
        <v>340</v>
      </c>
      <c r="C219" s="140" t="s">
        <v>549</v>
      </c>
      <c r="D219" s="175" t="s">
        <v>146</v>
      </c>
      <c r="E219" s="141" t="s">
        <v>949</v>
      </c>
      <c r="F219" s="140">
        <v>16</v>
      </c>
      <c r="G219" s="140">
        <v>16</v>
      </c>
      <c r="H219" s="179">
        <v>2159180.96</v>
      </c>
      <c r="I219" s="154"/>
      <c r="J219" s="155"/>
    </row>
    <row r="220" spans="2:10">
      <c r="B220" s="139" t="s">
        <v>341</v>
      </c>
      <c r="C220" s="140" t="s">
        <v>547</v>
      </c>
      <c r="D220" s="175" t="s">
        <v>105</v>
      </c>
      <c r="E220" s="141" t="s">
        <v>950</v>
      </c>
      <c r="F220" s="140">
        <v>65</v>
      </c>
      <c r="G220" s="140">
        <v>65</v>
      </c>
      <c r="H220" s="179">
        <v>4020778.11</v>
      </c>
      <c r="I220" s="154"/>
      <c r="J220" s="155"/>
    </row>
    <row r="221" spans="2:10">
      <c r="B221" s="139" t="s">
        <v>342</v>
      </c>
      <c r="C221" s="140" t="s">
        <v>547</v>
      </c>
      <c r="D221" s="175" t="s">
        <v>128</v>
      </c>
      <c r="E221" s="141" t="s">
        <v>951</v>
      </c>
      <c r="F221" s="140">
        <v>25</v>
      </c>
      <c r="G221" s="140">
        <v>25</v>
      </c>
      <c r="H221" s="179">
        <v>1643152.94</v>
      </c>
      <c r="I221" s="154"/>
      <c r="J221" s="155"/>
    </row>
    <row r="222" spans="2:10">
      <c r="B222" s="139" t="s">
        <v>627</v>
      </c>
      <c r="C222" s="140" t="s">
        <v>547</v>
      </c>
      <c r="D222" s="175" t="s">
        <v>128</v>
      </c>
      <c r="E222" s="141" t="s">
        <v>952</v>
      </c>
      <c r="F222" s="140">
        <v>28</v>
      </c>
      <c r="G222" s="140">
        <v>28</v>
      </c>
      <c r="H222" s="179">
        <v>2419946.9700000002</v>
      </c>
      <c r="I222" s="154"/>
      <c r="J222" s="155"/>
    </row>
    <row r="223" spans="2:10">
      <c r="B223" s="139" t="s">
        <v>343</v>
      </c>
      <c r="C223" s="140" t="s">
        <v>547</v>
      </c>
      <c r="D223" s="175" t="s">
        <v>110</v>
      </c>
      <c r="E223" s="141" t="s">
        <v>953</v>
      </c>
      <c r="F223" s="140">
        <v>63</v>
      </c>
      <c r="G223" s="140">
        <v>63</v>
      </c>
      <c r="H223" s="179">
        <v>4286683.1100000003</v>
      </c>
      <c r="I223" s="154"/>
      <c r="J223" s="155"/>
    </row>
    <row r="224" spans="2:10">
      <c r="B224" s="139" t="s">
        <v>628</v>
      </c>
      <c r="C224" s="140" t="s">
        <v>547</v>
      </c>
      <c r="D224" s="175" t="s">
        <v>110</v>
      </c>
      <c r="E224" s="141" t="s">
        <v>954</v>
      </c>
      <c r="F224" s="140">
        <v>35</v>
      </c>
      <c r="G224" s="140">
        <v>35</v>
      </c>
      <c r="H224" s="179">
        <v>2481282</v>
      </c>
      <c r="I224" s="154"/>
      <c r="J224" s="155"/>
    </row>
    <row r="225" spans="2:10">
      <c r="B225" s="139" t="s">
        <v>344</v>
      </c>
      <c r="C225" s="140" t="s">
        <v>547</v>
      </c>
      <c r="D225" s="175" t="s">
        <v>151</v>
      </c>
      <c r="E225" s="141" t="s">
        <v>955</v>
      </c>
      <c r="F225" s="140">
        <v>33</v>
      </c>
      <c r="G225" s="140">
        <v>33</v>
      </c>
      <c r="H225" s="179">
        <v>658452.43999999994</v>
      </c>
      <c r="I225" s="154"/>
      <c r="J225" s="155"/>
    </row>
    <row r="226" spans="2:10">
      <c r="B226" s="139" t="s">
        <v>345</v>
      </c>
      <c r="C226" s="140" t="s">
        <v>547</v>
      </c>
      <c r="D226" s="175" t="s">
        <v>153</v>
      </c>
      <c r="E226" s="141" t="s">
        <v>956</v>
      </c>
      <c r="F226" s="140">
        <v>36</v>
      </c>
      <c r="G226" s="140">
        <v>36</v>
      </c>
      <c r="H226" s="179">
        <v>2108771.96</v>
      </c>
      <c r="I226" s="154"/>
      <c r="J226" s="155"/>
    </row>
    <row r="227" spans="2:10">
      <c r="B227" s="139" t="s">
        <v>346</v>
      </c>
      <c r="C227" s="140" t="s">
        <v>549</v>
      </c>
      <c r="D227" s="175" t="s">
        <v>111</v>
      </c>
      <c r="E227" s="141" t="s">
        <v>957</v>
      </c>
      <c r="F227" s="140">
        <v>62</v>
      </c>
      <c r="G227" s="140">
        <v>62</v>
      </c>
      <c r="H227" s="179">
        <v>8527777.7300000004</v>
      </c>
      <c r="I227" s="154"/>
      <c r="J227" s="155"/>
    </row>
    <row r="228" spans="2:10">
      <c r="B228" s="139" t="s">
        <v>347</v>
      </c>
      <c r="C228" s="140" t="s">
        <v>549</v>
      </c>
      <c r="D228" s="175" t="s">
        <v>117</v>
      </c>
      <c r="E228" s="141" t="s">
        <v>958</v>
      </c>
      <c r="F228" s="140">
        <v>40</v>
      </c>
      <c r="G228" s="140">
        <v>40</v>
      </c>
      <c r="H228" s="179">
        <v>2929645.01</v>
      </c>
      <c r="I228" s="154"/>
      <c r="J228" s="155"/>
    </row>
    <row r="229" spans="2:10">
      <c r="B229" s="139" t="s">
        <v>348</v>
      </c>
      <c r="C229" s="140" t="s">
        <v>547</v>
      </c>
      <c r="D229" s="175" t="s">
        <v>117</v>
      </c>
      <c r="E229" s="141" t="s">
        <v>959</v>
      </c>
      <c r="F229" s="140">
        <v>50</v>
      </c>
      <c r="G229" s="140">
        <v>50</v>
      </c>
      <c r="H229" s="179">
        <v>2702410.37</v>
      </c>
      <c r="I229" s="154"/>
      <c r="J229" s="155"/>
    </row>
    <row r="230" spans="2:10">
      <c r="B230" s="139" t="s">
        <v>629</v>
      </c>
      <c r="C230" s="140" t="s">
        <v>547</v>
      </c>
      <c r="D230" s="175" t="s">
        <v>146</v>
      </c>
      <c r="E230" s="141" t="s">
        <v>960</v>
      </c>
      <c r="F230" s="140">
        <v>44</v>
      </c>
      <c r="G230" s="140">
        <v>44</v>
      </c>
      <c r="H230" s="179">
        <v>2889421.57</v>
      </c>
      <c r="I230" s="154"/>
      <c r="J230" s="155"/>
    </row>
    <row r="231" spans="2:10">
      <c r="B231" s="139" t="s">
        <v>349</v>
      </c>
      <c r="C231" s="140" t="s">
        <v>547</v>
      </c>
      <c r="D231" s="175" t="s">
        <v>117</v>
      </c>
      <c r="E231" s="141" t="s">
        <v>961</v>
      </c>
      <c r="F231" s="140">
        <v>42</v>
      </c>
      <c r="G231" s="140">
        <v>42</v>
      </c>
      <c r="H231" s="179">
        <v>4316999.45</v>
      </c>
      <c r="I231" s="154"/>
      <c r="J231" s="155"/>
    </row>
    <row r="232" spans="2:10">
      <c r="B232" s="139" t="s">
        <v>350</v>
      </c>
      <c r="C232" s="140" t="s">
        <v>549</v>
      </c>
      <c r="D232" s="175" t="s">
        <v>137</v>
      </c>
      <c r="E232" s="141" t="s">
        <v>962</v>
      </c>
      <c r="F232" s="140">
        <v>38</v>
      </c>
      <c r="G232" s="140">
        <v>38</v>
      </c>
      <c r="H232" s="179">
        <v>3908606.95</v>
      </c>
      <c r="I232" s="154"/>
      <c r="J232" s="155"/>
    </row>
    <row r="233" spans="2:10">
      <c r="B233" s="139" t="s">
        <v>351</v>
      </c>
      <c r="C233" s="140" t="s">
        <v>549</v>
      </c>
      <c r="D233" s="175" t="s">
        <v>124</v>
      </c>
      <c r="E233" s="141" t="s">
        <v>963</v>
      </c>
      <c r="F233" s="140">
        <v>49</v>
      </c>
      <c r="G233" s="140">
        <v>49</v>
      </c>
      <c r="H233" s="179">
        <v>5140740.2699999996</v>
      </c>
      <c r="I233" s="154"/>
      <c r="J233" s="155"/>
    </row>
    <row r="234" spans="2:10">
      <c r="B234" s="139" t="s">
        <v>352</v>
      </c>
      <c r="C234" s="140" t="s">
        <v>549</v>
      </c>
      <c r="D234" s="175" t="s">
        <v>117</v>
      </c>
      <c r="E234" s="141" t="s">
        <v>964</v>
      </c>
      <c r="F234" s="140">
        <v>60</v>
      </c>
      <c r="G234" s="140">
        <v>60</v>
      </c>
      <c r="H234" s="179">
        <v>7065810.8499999996</v>
      </c>
      <c r="I234" s="154"/>
      <c r="J234" s="155"/>
    </row>
    <row r="235" spans="2:10">
      <c r="B235" s="139" t="s">
        <v>353</v>
      </c>
      <c r="C235" s="140" t="s">
        <v>549</v>
      </c>
      <c r="D235" s="175" t="s">
        <v>148</v>
      </c>
      <c r="E235" s="141" t="s">
        <v>965</v>
      </c>
      <c r="F235" s="140">
        <v>10</v>
      </c>
      <c r="G235" s="140">
        <v>22</v>
      </c>
      <c r="H235" s="179">
        <v>555032.13</v>
      </c>
      <c r="I235" s="154"/>
      <c r="J235" s="155"/>
    </row>
    <row r="236" spans="2:10">
      <c r="B236" s="139" t="s">
        <v>354</v>
      </c>
      <c r="C236" s="140" t="s">
        <v>549</v>
      </c>
      <c r="D236" s="175" t="s">
        <v>97</v>
      </c>
      <c r="E236" s="141" t="s">
        <v>966</v>
      </c>
      <c r="F236" s="140">
        <v>85</v>
      </c>
      <c r="G236" s="140">
        <v>85</v>
      </c>
      <c r="H236" s="179">
        <v>7621608.8200000003</v>
      </c>
      <c r="I236" s="154"/>
      <c r="J236" s="155"/>
    </row>
    <row r="237" spans="2:10">
      <c r="B237" s="139" t="s">
        <v>355</v>
      </c>
      <c r="C237" s="140" t="s">
        <v>549</v>
      </c>
      <c r="D237" s="175" t="s">
        <v>107</v>
      </c>
      <c r="E237" s="141" t="s">
        <v>967</v>
      </c>
      <c r="F237" s="140">
        <v>55</v>
      </c>
      <c r="G237" s="140">
        <v>55</v>
      </c>
      <c r="H237" s="179">
        <v>11572958.029999999</v>
      </c>
      <c r="I237" s="154"/>
      <c r="J237" s="155"/>
    </row>
    <row r="238" spans="2:10">
      <c r="B238" s="139" t="s">
        <v>356</v>
      </c>
      <c r="C238" s="140" t="s">
        <v>549</v>
      </c>
      <c r="D238" s="175" t="s">
        <v>133</v>
      </c>
      <c r="E238" s="141" t="s">
        <v>968</v>
      </c>
      <c r="F238" s="140">
        <v>82</v>
      </c>
      <c r="G238" s="140">
        <v>82</v>
      </c>
      <c r="H238" s="179">
        <v>15514984.630000001</v>
      </c>
      <c r="I238" s="154"/>
      <c r="J238" s="155"/>
    </row>
    <row r="239" spans="2:10">
      <c r="B239" s="139" t="s">
        <v>357</v>
      </c>
      <c r="C239" s="140" t="s">
        <v>549</v>
      </c>
      <c r="D239" s="175" t="s">
        <v>158</v>
      </c>
      <c r="E239" s="141" t="s">
        <v>969</v>
      </c>
      <c r="F239" s="140">
        <v>31</v>
      </c>
      <c r="G239" s="140">
        <v>31</v>
      </c>
      <c r="H239" s="179">
        <v>1841679.95</v>
      </c>
      <c r="I239" s="154"/>
      <c r="J239" s="155"/>
    </row>
    <row r="240" spans="2:10">
      <c r="B240" s="139" t="s">
        <v>970</v>
      </c>
      <c r="C240" s="140" t="s">
        <v>549</v>
      </c>
      <c r="D240" s="175" t="s">
        <v>158</v>
      </c>
      <c r="E240" s="141" t="s">
        <v>969</v>
      </c>
      <c r="F240" s="140">
        <v>0</v>
      </c>
      <c r="G240" s="140">
        <v>0</v>
      </c>
      <c r="H240" s="179">
        <v>2626794.7999999998</v>
      </c>
      <c r="I240" s="154"/>
      <c r="J240" s="155"/>
    </row>
    <row r="241" spans="2:10">
      <c r="B241" s="139" t="s">
        <v>358</v>
      </c>
      <c r="C241" s="140" t="s">
        <v>547</v>
      </c>
      <c r="D241" s="175" t="s">
        <v>151</v>
      </c>
      <c r="E241" s="141" t="s">
        <v>971</v>
      </c>
      <c r="F241" s="140">
        <v>35</v>
      </c>
      <c r="G241" s="140">
        <v>35</v>
      </c>
      <c r="H241" s="179">
        <v>3726492.5</v>
      </c>
      <c r="I241" s="154"/>
      <c r="J241" s="155"/>
    </row>
    <row r="242" spans="2:10">
      <c r="B242" s="139" t="s">
        <v>359</v>
      </c>
      <c r="C242" s="140" t="s">
        <v>549</v>
      </c>
      <c r="D242" s="175" t="s">
        <v>132</v>
      </c>
      <c r="E242" s="141" t="s">
        <v>972</v>
      </c>
      <c r="F242" s="140">
        <v>80</v>
      </c>
      <c r="G242" s="140">
        <v>80</v>
      </c>
      <c r="H242" s="179">
        <v>13897648.619999999</v>
      </c>
      <c r="I242" s="154"/>
      <c r="J242" s="155"/>
    </row>
    <row r="243" spans="2:10">
      <c r="B243" s="139" t="s">
        <v>630</v>
      </c>
      <c r="C243" s="140" t="s">
        <v>549</v>
      </c>
      <c r="D243" s="175" t="s">
        <v>147</v>
      </c>
      <c r="E243" s="141" t="s">
        <v>973</v>
      </c>
      <c r="F243" s="140">
        <v>30</v>
      </c>
      <c r="G243" s="140">
        <v>38</v>
      </c>
      <c r="H243" s="179">
        <v>3190333.1</v>
      </c>
      <c r="I243" s="154"/>
      <c r="J243" s="155"/>
    </row>
    <row r="244" spans="2:10">
      <c r="B244" s="139" t="s">
        <v>360</v>
      </c>
      <c r="C244" s="140" t="s">
        <v>549</v>
      </c>
      <c r="D244" s="175" t="s">
        <v>131</v>
      </c>
      <c r="E244" s="141" t="s">
        <v>974</v>
      </c>
      <c r="F244" s="140">
        <v>72</v>
      </c>
      <c r="G244" s="140">
        <v>103</v>
      </c>
      <c r="H244" s="179">
        <v>8889014.6899999995</v>
      </c>
      <c r="I244" s="154"/>
      <c r="J244" s="155"/>
    </row>
    <row r="245" spans="2:10">
      <c r="B245" s="139" t="s">
        <v>361</v>
      </c>
      <c r="C245" s="140" t="s">
        <v>547</v>
      </c>
      <c r="D245" s="175" t="s">
        <v>129</v>
      </c>
      <c r="E245" s="141" t="s">
        <v>975</v>
      </c>
      <c r="F245" s="140">
        <v>90</v>
      </c>
      <c r="G245" s="140">
        <v>100</v>
      </c>
      <c r="H245" s="179">
        <v>3476520.19</v>
      </c>
      <c r="I245" s="154"/>
      <c r="J245" s="155"/>
    </row>
    <row r="246" spans="2:10">
      <c r="B246" s="139" t="s">
        <v>362</v>
      </c>
      <c r="C246" s="140" t="s">
        <v>547</v>
      </c>
      <c r="D246" s="175" t="s">
        <v>23</v>
      </c>
      <c r="E246" s="141" t="s">
        <v>976</v>
      </c>
      <c r="F246" s="140">
        <v>40</v>
      </c>
      <c r="G246" s="140">
        <v>40</v>
      </c>
      <c r="H246" s="179">
        <v>1652829.25</v>
      </c>
      <c r="I246" s="154"/>
      <c r="J246" s="155"/>
    </row>
    <row r="247" spans="2:10">
      <c r="B247" s="139" t="s">
        <v>363</v>
      </c>
      <c r="C247" s="140" t="s">
        <v>549</v>
      </c>
      <c r="D247" s="175" t="s">
        <v>100</v>
      </c>
      <c r="E247" s="141" t="s">
        <v>977</v>
      </c>
      <c r="F247" s="140">
        <v>0</v>
      </c>
      <c r="G247" s="140">
        <v>50</v>
      </c>
      <c r="H247" s="179">
        <v>322042.42</v>
      </c>
      <c r="I247" s="154"/>
      <c r="J247" s="155"/>
    </row>
    <row r="248" spans="2:10" ht="12.75" customHeight="1">
      <c r="B248" s="139" t="s">
        <v>365</v>
      </c>
      <c r="C248" s="140" t="s">
        <v>547</v>
      </c>
      <c r="D248" s="175" t="s">
        <v>19</v>
      </c>
      <c r="E248" s="141" t="s">
        <v>978</v>
      </c>
      <c r="F248" s="140">
        <v>40</v>
      </c>
      <c r="G248" s="140">
        <v>40</v>
      </c>
      <c r="H248" s="179">
        <v>1937271.67</v>
      </c>
      <c r="I248" s="154"/>
      <c r="J248" s="155"/>
    </row>
    <row r="249" spans="2:10">
      <c r="B249" s="139" t="s">
        <v>366</v>
      </c>
      <c r="C249" s="140" t="s">
        <v>547</v>
      </c>
      <c r="D249" s="175" t="s">
        <v>19</v>
      </c>
      <c r="E249" s="141" t="s">
        <v>979</v>
      </c>
      <c r="F249" s="140">
        <v>59</v>
      </c>
      <c r="G249" s="140">
        <v>59</v>
      </c>
      <c r="H249" s="179">
        <v>6341087.0199999996</v>
      </c>
      <c r="I249" s="154"/>
      <c r="J249" s="155"/>
    </row>
    <row r="250" spans="2:10">
      <c r="B250" s="139" t="s">
        <v>367</v>
      </c>
      <c r="C250" s="140" t="s">
        <v>549</v>
      </c>
      <c r="D250" s="175" t="s">
        <v>136</v>
      </c>
      <c r="E250" s="141" t="s">
        <v>980</v>
      </c>
      <c r="F250" s="140">
        <v>75</v>
      </c>
      <c r="G250" s="140">
        <v>75</v>
      </c>
      <c r="H250" s="179">
        <v>11417790.539999999</v>
      </c>
      <c r="I250" s="154"/>
      <c r="J250" s="155"/>
    </row>
    <row r="251" spans="2:10">
      <c r="B251" s="139" t="s">
        <v>368</v>
      </c>
      <c r="C251" s="140" t="s">
        <v>549</v>
      </c>
      <c r="D251" s="175" t="s">
        <v>146</v>
      </c>
      <c r="E251" s="141" t="s">
        <v>981</v>
      </c>
      <c r="F251" s="140">
        <v>20</v>
      </c>
      <c r="G251" s="140">
        <v>20</v>
      </c>
      <c r="H251" s="179">
        <v>1256781.8999999999</v>
      </c>
      <c r="I251" s="154"/>
      <c r="J251" s="155"/>
    </row>
    <row r="252" spans="2:10">
      <c r="B252" s="139" t="s">
        <v>369</v>
      </c>
      <c r="C252" s="140" t="s">
        <v>549</v>
      </c>
      <c r="D252" s="175" t="s">
        <v>112</v>
      </c>
      <c r="E252" s="141" t="s">
        <v>982</v>
      </c>
      <c r="F252" s="140">
        <v>45</v>
      </c>
      <c r="G252" s="140">
        <v>60</v>
      </c>
      <c r="H252" s="179">
        <v>3326176.55</v>
      </c>
      <c r="I252" s="154"/>
      <c r="J252" s="155"/>
    </row>
    <row r="253" spans="2:10">
      <c r="B253" s="139" t="s">
        <v>370</v>
      </c>
      <c r="C253" s="140" t="s">
        <v>549</v>
      </c>
      <c r="D253" s="175" t="s">
        <v>122</v>
      </c>
      <c r="E253" s="141" t="s">
        <v>983</v>
      </c>
      <c r="F253" s="140">
        <v>70</v>
      </c>
      <c r="G253" s="140">
        <v>73</v>
      </c>
      <c r="H253" s="179">
        <v>10958424.859999999</v>
      </c>
      <c r="I253" s="154"/>
      <c r="J253" s="155"/>
    </row>
    <row r="254" spans="2:10">
      <c r="B254" s="139" t="s">
        <v>371</v>
      </c>
      <c r="C254" s="140" t="s">
        <v>547</v>
      </c>
      <c r="D254" s="175" t="s">
        <v>133</v>
      </c>
      <c r="E254" s="141" t="s">
        <v>984</v>
      </c>
      <c r="F254" s="140">
        <v>90</v>
      </c>
      <c r="G254" s="140">
        <v>90</v>
      </c>
      <c r="H254" s="179">
        <v>8057702.6500000004</v>
      </c>
      <c r="I254" s="154"/>
      <c r="J254" s="155"/>
    </row>
    <row r="255" spans="2:10">
      <c r="B255" s="139" t="s">
        <v>985</v>
      </c>
      <c r="C255" s="140" t="s">
        <v>547</v>
      </c>
      <c r="D255" s="175" t="s">
        <v>133</v>
      </c>
      <c r="E255" s="141" t="s">
        <v>986</v>
      </c>
      <c r="F255" s="140">
        <v>80</v>
      </c>
      <c r="G255" s="140">
        <v>80</v>
      </c>
      <c r="H255" s="179">
        <v>9897092.0999999996</v>
      </c>
      <c r="I255" s="154"/>
      <c r="J255" s="155"/>
    </row>
    <row r="256" spans="2:10">
      <c r="B256" s="139" t="s">
        <v>631</v>
      </c>
      <c r="C256" s="140" t="s">
        <v>547</v>
      </c>
      <c r="D256" s="175" t="s">
        <v>124</v>
      </c>
      <c r="E256" s="141" t="s">
        <v>987</v>
      </c>
      <c r="F256" s="140">
        <v>25</v>
      </c>
      <c r="G256" s="140">
        <v>25</v>
      </c>
      <c r="H256" s="179">
        <v>553331.59</v>
      </c>
      <c r="I256" s="154"/>
      <c r="J256" s="155"/>
    </row>
    <row r="257" spans="2:10">
      <c r="B257" s="139" t="s">
        <v>372</v>
      </c>
      <c r="C257" s="140" t="s">
        <v>547</v>
      </c>
      <c r="D257" s="175" t="s">
        <v>901</v>
      </c>
      <c r="E257" s="141" t="s">
        <v>988</v>
      </c>
      <c r="F257" s="140">
        <v>20</v>
      </c>
      <c r="G257" s="140">
        <v>20</v>
      </c>
      <c r="H257" s="179">
        <v>1302990.54</v>
      </c>
      <c r="I257" s="154"/>
      <c r="J257" s="155"/>
    </row>
    <row r="258" spans="2:10">
      <c r="B258" s="139" t="s">
        <v>373</v>
      </c>
      <c r="C258" s="140" t="s">
        <v>547</v>
      </c>
      <c r="D258" s="175" t="s">
        <v>96</v>
      </c>
      <c r="E258" s="141" t="s">
        <v>989</v>
      </c>
      <c r="F258" s="140">
        <v>32</v>
      </c>
      <c r="G258" s="140">
        <v>32</v>
      </c>
      <c r="H258" s="179">
        <v>2599138.4</v>
      </c>
      <c r="I258" s="154"/>
      <c r="J258" s="155"/>
    </row>
    <row r="259" spans="2:10">
      <c r="B259" s="139" t="s">
        <v>375</v>
      </c>
      <c r="C259" s="140" t="s">
        <v>549</v>
      </c>
      <c r="D259" s="175" t="s">
        <v>901</v>
      </c>
      <c r="E259" s="141" t="s">
        <v>990</v>
      </c>
      <c r="F259" s="140">
        <v>75</v>
      </c>
      <c r="G259" s="140">
        <v>75</v>
      </c>
      <c r="H259" s="179">
        <v>15460638.16</v>
      </c>
      <c r="I259" s="154"/>
      <c r="J259" s="155"/>
    </row>
    <row r="260" spans="2:10">
      <c r="B260" s="139" t="s">
        <v>376</v>
      </c>
      <c r="C260" s="140" t="s">
        <v>547</v>
      </c>
      <c r="D260" s="175" t="s">
        <v>901</v>
      </c>
      <c r="E260" s="141" t="s">
        <v>991</v>
      </c>
      <c r="F260" s="140">
        <v>20</v>
      </c>
      <c r="G260" s="140">
        <v>20</v>
      </c>
      <c r="H260" s="179">
        <v>701317.58</v>
      </c>
      <c r="I260" s="154"/>
      <c r="J260" s="155"/>
    </row>
    <row r="261" spans="2:10">
      <c r="B261" s="139" t="s">
        <v>632</v>
      </c>
      <c r="C261" s="140" t="s">
        <v>547</v>
      </c>
      <c r="D261" s="175" t="s">
        <v>901</v>
      </c>
      <c r="E261" s="141" t="s">
        <v>992</v>
      </c>
      <c r="F261" s="140">
        <v>45</v>
      </c>
      <c r="G261" s="140">
        <v>45</v>
      </c>
      <c r="H261" s="179">
        <v>6658741.3600000003</v>
      </c>
      <c r="I261" s="154"/>
      <c r="J261" s="155"/>
    </row>
    <row r="262" spans="2:10">
      <c r="B262" s="139" t="s">
        <v>993</v>
      </c>
      <c r="C262" s="140" t="s">
        <v>547</v>
      </c>
      <c r="D262" s="175" t="s">
        <v>901</v>
      </c>
      <c r="E262" s="141" t="s">
        <v>994</v>
      </c>
      <c r="F262" s="140">
        <v>67</v>
      </c>
      <c r="G262" s="140">
        <v>67</v>
      </c>
      <c r="H262" s="179">
        <v>7877332.0099999998</v>
      </c>
      <c r="I262" s="154"/>
      <c r="J262" s="155"/>
    </row>
    <row r="263" spans="2:10">
      <c r="B263" s="139" t="s">
        <v>377</v>
      </c>
      <c r="C263" s="140" t="s">
        <v>549</v>
      </c>
      <c r="D263" s="175" t="s">
        <v>120</v>
      </c>
      <c r="E263" s="141" t="s">
        <v>995</v>
      </c>
      <c r="F263" s="140">
        <v>70</v>
      </c>
      <c r="G263" s="140">
        <v>70</v>
      </c>
      <c r="H263" s="179">
        <v>12196481.9</v>
      </c>
      <c r="I263" s="154"/>
      <c r="J263" s="155"/>
    </row>
    <row r="264" spans="2:10">
      <c r="B264" s="139" t="s">
        <v>378</v>
      </c>
      <c r="C264" s="140" t="s">
        <v>549</v>
      </c>
      <c r="D264" s="175" t="s">
        <v>31</v>
      </c>
      <c r="E264" s="141" t="s">
        <v>996</v>
      </c>
      <c r="F264" s="140">
        <v>60</v>
      </c>
      <c r="G264" s="140">
        <v>100</v>
      </c>
      <c r="H264" s="179">
        <v>6493384.9500000002</v>
      </c>
      <c r="I264" s="154"/>
      <c r="J264" s="155"/>
    </row>
    <row r="265" spans="2:10">
      <c r="B265" s="139" t="s">
        <v>379</v>
      </c>
      <c r="C265" s="140" t="s">
        <v>549</v>
      </c>
      <c r="D265" s="175" t="s">
        <v>110</v>
      </c>
      <c r="E265" s="141" t="s">
        <v>997</v>
      </c>
      <c r="F265" s="140">
        <v>16</v>
      </c>
      <c r="G265" s="140">
        <v>20</v>
      </c>
      <c r="H265" s="179">
        <v>1496060.68</v>
      </c>
      <c r="I265" s="154"/>
      <c r="J265" s="155"/>
    </row>
    <row r="266" spans="2:10">
      <c r="B266" s="139" t="s">
        <v>380</v>
      </c>
      <c r="C266" s="140" t="s">
        <v>549</v>
      </c>
      <c r="D266" s="175" t="s">
        <v>126</v>
      </c>
      <c r="E266" s="141" t="s">
        <v>998</v>
      </c>
      <c r="F266" s="140">
        <v>22</v>
      </c>
      <c r="G266" s="140">
        <v>27</v>
      </c>
      <c r="H266" s="179">
        <v>1051813.32</v>
      </c>
      <c r="I266" s="154"/>
      <c r="J266" s="155"/>
    </row>
    <row r="267" spans="2:10">
      <c r="B267" s="139" t="s">
        <v>381</v>
      </c>
      <c r="C267" s="140" t="s">
        <v>547</v>
      </c>
      <c r="D267" s="175" t="s">
        <v>126</v>
      </c>
      <c r="E267" s="141" t="s">
        <v>999</v>
      </c>
      <c r="F267" s="140">
        <v>75</v>
      </c>
      <c r="G267" s="140">
        <v>75</v>
      </c>
      <c r="H267" s="179">
        <v>8520683.1300000008</v>
      </c>
      <c r="I267" s="154"/>
      <c r="J267" s="155"/>
    </row>
    <row r="268" spans="2:10">
      <c r="B268" s="139" t="s">
        <v>633</v>
      </c>
      <c r="C268" s="140" t="s">
        <v>547</v>
      </c>
      <c r="D268" s="175" t="s">
        <v>126</v>
      </c>
      <c r="E268" s="141" t="s">
        <v>1000</v>
      </c>
      <c r="F268" s="140">
        <v>45</v>
      </c>
      <c r="G268" s="140">
        <v>45</v>
      </c>
      <c r="H268" s="179">
        <v>3326342.66</v>
      </c>
      <c r="I268" s="154"/>
      <c r="J268" s="155"/>
    </row>
    <row r="269" spans="2:10">
      <c r="B269" s="139" t="s">
        <v>382</v>
      </c>
      <c r="C269" s="140" t="s">
        <v>549</v>
      </c>
      <c r="D269" s="175" t="s">
        <v>136</v>
      </c>
      <c r="E269" s="141" t="s">
        <v>1001</v>
      </c>
      <c r="F269" s="140">
        <v>44</v>
      </c>
      <c r="G269" s="140">
        <v>50</v>
      </c>
      <c r="H269" s="179">
        <v>4765948.4400000004</v>
      </c>
      <c r="I269" s="154"/>
      <c r="J269" s="155"/>
    </row>
    <row r="270" spans="2:10">
      <c r="B270" s="139" t="s">
        <v>383</v>
      </c>
      <c r="C270" s="140" t="s">
        <v>547</v>
      </c>
      <c r="D270" s="175" t="s">
        <v>156</v>
      </c>
      <c r="E270" s="141" t="s">
        <v>1002</v>
      </c>
      <c r="F270" s="140">
        <v>40</v>
      </c>
      <c r="G270" s="140">
        <v>40</v>
      </c>
      <c r="H270" s="179">
        <v>1714940.86</v>
      </c>
      <c r="I270" s="154"/>
      <c r="J270" s="155"/>
    </row>
    <row r="271" spans="2:10">
      <c r="B271" s="139" t="s">
        <v>634</v>
      </c>
      <c r="C271" s="140" t="s">
        <v>547</v>
      </c>
      <c r="D271" s="175" t="s">
        <v>97</v>
      </c>
      <c r="E271" s="141" t="s">
        <v>1003</v>
      </c>
      <c r="F271" s="140">
        <v>50</v>
      </c>
      <c r="G271" s="140">
        <v>50</v>
      </c>
      <c r="H271" s="179">
        <v>2060519.45</v>
      </c>
      <c r="I271" s="154"/>
      <c r="J271" s="155"/>
    </row>
    <row r="272" spans="2:10">
      <c r="B272" s="139" t="s">
        <v>384</v>
      </c>
      <c r="C272" s="140" t="s">
        <v>547</v>
      </c>
      <c r="D272" s="175" t="s">
        <v>137</v>
      </c>
      <c r="E272" s="141" t="s">
        <v>1004</v>
      </c>
      <c r="F272" s="140">
        <v>105</v>
      </c>
      <c r="G272" s="140">
        <v>105</v>
      </c>
      <c r="H272" s="179">
        <v>3656232.26</v>
      </c>
      <c r="I272" s="154"/>
      <c r="J272" s="155"/>
    </row>
    <row r="273" spans="2:10">
      <c r="B273" s="139" t="s">
        <v>385</v>
      </c>
      <c r="C273" s="140" t="s">
        <v>547</v>
      </c>
      <c r="D273" s="175" t="s">
        <v>118</v>
      </c>
      <c r="E273" s="141" t="s">
        <v>1005</v>
      </c>
      <c r="F273" s="140">
        <v>40</v>
      </c>
      <c r="G273" s="140">
        <v>44</v>
      </c>
      <c r="H273" s="179">
        <v>3257689.99</v>
      </c>
      <c r="I273" s="154"/>
      <c r="J273" s="155"/>
    </row>
    <row r="274" spans="2:10">
      <c r="B274" s="139" t="s">
        <v>386</v>
      </c>
      <c r="C274" s="140" t="s">
        <v>547</v>
      </c>
      <c r="D274" s="175" t="s">
        <v>124</v>
      </c>
      <c r="E274" s="141" t="s">
        <v>1006</v>
      </c>
      <c r="F274" s="140">
        <v>82</v>
      </c>
      <c r="G274" s="140">
        <v>82</v>
      </c>
      <c r="H274" s="179">
        <v>3325489.4</v>
      </c>
      <c r="I274" s="154"/>
      <c r="J274" s="155"/>
    </row>
    <row r="275" spans="2:10">
      <c r="B275" s="139" t="s">
        <v>387</v>
      </c>
      <c r="C275" s="140" t="s">
        <v>549</v>
      </c>
      <c r="D275" s="175" t="s">
        <v>139</v>
      </c>
      <c r="E275" s="141" t="s">
        <v>1007</v>
      </c>
      <c r="F275" s="140">
        <v>70</v>
      </c>
      <c r="G275" s="140">
        <v>70</v>
      </c>
      <c r="H275" s="179">
        <v>7274138.3300000001</v>
      </c>
      <c r="I275" s="154"/>
      <c r="J275" s="155"/>
    </row>
    <row r="276" spans="2:10">
      <c r="B276" s="139" t="s">
        <v>388</v>
      </c>
      <c r="C276" s="140" t="s">
        <v>549</v>
      </c>
      <c r="D276" s="175" t="s">
        <v>140</v>
      </c>
      <c r="E276" s="141" t="s">
        <v>1008</v>
      </c>
      <c r="F276" s="140">
        <v>40</v>
      </c>
      <c r="G276" s="140">
        <v>40</v>
      </c>
      <c r="H276" s="179">
        <v>2719293.67</v>
      </c>
      <c r="I276" s="154"/>
      <c r="J276" s="155"/>
    </row>
    <row r="277" spans="2:10">
      <c r="B277" s="139" t="s">
        <v>389</v>
      </c>
      <c r="C277" s="140" t="s">
        <v>547</v>
      </c>
      <c r="D277" s="175" t="s">
        <v>126</v>
      </c>
      <c r="E277" s="141" t="s">
        <v>1009</v>
      </c>
      <c r="F277" s="140">
        <v>69</v>
      </c>
      <c r="G277" s="140">
        <v>69</v>
      </c>
      <c r="H277" s="179">
        <v>5928803.4800000004</v>
      </c>
      <c r="I277" s="154"/>
      <c r="J277" s="155"/>
    </row>
    <row r="278" spans="2:10">
      <c r="B278" s="139" t="s">
        <v>390</v>
      </c>
      <c r="C278" s="140" t="s">
        <v>547</v>
      </c>
      <c r="D278" s="175" t="s">
        <v>126</v>
      </c>
      <c r="E278" s="141" t="s">
        <v>1010</v>
      </c>
      <c r="F278" s="140">
        <v>35</v>
      </c>
      <c r="G278" s="140">
        <v>35</v>
      </c>
      <c r="H278" s="179">
        <v>1611508.65</v>
      </c>
      <c r="I278" s="154"/>
      <c r="J278" s="155"/>
    </row>
    <row r="279" spans="2:10">
      <c r="B279" s="139" t="s">
        <v>391</v>
      </c>
      <c r="C279" s="140" t="s">
        <v>549</v>
      </c>
      <c r="D279" s="175" t="s">
        <v>126</v>
      </c>
      <c r="E279" s="141" t="s">
        <v>1011</v>
      </c>
      <c r="F279" s="140">
        <v>15</v>
      </c>
      <c r="G279" s="140">
        <v>30</v>
      </c>
      <c r="H279" s="179">
        <v>1672150.89</v>
      </c>
      <c r="I279" s="154"/>
      <c r="J279" s="155"/>
    </row>
    <row r="280" spans="2:10">
      <c r="B280" s="139" t="s">
        <v>635</v>
      </c>
      <c r="C280" s="140" t="s">
        <v>547</v>
      </c>
      <c r="D280" s="175" t="s">
        <v>126</v>
      </c>
      <c r="E280" s="141" t="s">
        <v>1012</v>
      </c>
      <c r="F280" s="140">
        <v>46</v>
      </c>
      <c r="G280" s="140">
        <v>46</v>
      </c>
      <c r="H280" s="179">
        <v>4001845.92</v>
      </c>
      <c r="I280" s="154"/>
      <c r="J280" s="155"/>
    </row>
    <row r="281" spans="2:10">
      <c r="B281" s="139" t="s">
        <v>392</v>
      </c>
      <c r="C281" s="140" t="s">
        <v>549</v>
      </c>
      <c r="D281" s="175" t="s">
        <v>107</v>
      </c>
      <c r="E281" s="141" t="s">
        <v>1013</v>
      </c>
      <c r="F281" s="140">
        <v>70</v>
      </c>
      <c r="G281" s="140">
        <v>70</v>
      </c>
      <c r="H281" s="179">
        <v>12991100.5</v>
      </c>
      <c r="I281" s="154"/>
      <c r="J281" s="155"/>
    </row>
    <row r="282" spans="2:10">
      <c r="B282" s="139" t="s">
        <v>393</v>
      </c>
      <c r="C282" s="140" t="s">
        <v>549</v>
      </c>
      <c r="D282" s="175" t="s">
        <v>136</v>
      </c>
      <c r="E282" s="141" t="s">
        <v>1014</v>
      </c>
      <c r="F282" s="140">
        <v>62</v>
      </c>
      <c r="G282" s="140">
        <v>75</v>
      </c>
      <c r="H282" s="179">
        <v>8649741.5500000007</v>
      </c>
      <c r="I282" s="154"/>
      <c r="J282" s="155"/>
    </row>
    <row r="283" spans="2:10">
      <c r="B283" s="139" t="s">
        <v>394</v>
      </c>
      <c r="C283" s="140" t="s">
        <v>547</v>
      </c>
      <c r="D283" s="175" t="s">
        <v>136</v>
      </c>
      <c r="E283" s="141" t="s">
        <v>1015</v>
      </c>
      <c r="F283" s="140">
        <v>105</v>
      </c>
      <c r="G283" s="140">
        <v>105</v>
      </c>
      <c r="H283" s="179">
        <v>11822024.51</v>
      </c>
      <c r="I283" s="154"/>
      <c r="J283" s="155"/>
    </row>
    <row r="284" spans="2:10">
      <c r="B284" s="139" t="s">
        <v>582</v>
      </c>
      <c r="C284" s="140" t="s">
        <v>547</v>
      </c>
      <c r="D284" s="175" t="s">
        <v>137</v>
      </c>
      <c r="E284" s="141" t="s">
        <v>1016</v>
      </c>
      <c r="F284" s="140">
        <v>80</v>
      </c>
      <c r="G284" s="140">
        <v>80</v>
      </c>
      <c r="H284" s="179">
        <v>5674435.6100000003</v>
      </c>
      <c r="I284" s="154"/>
      <c r="J284" s="155"/>
    </row>
    <row r="285" spans="2:10">
      <c r="B285" s="139" t="s">
        <v>583</v>
      </c>
      <c r="C285" s="140" t="s">
        <v>547</v>
      </c>
      <c r="D285" s="175" t="s">
        <v>136</v>
      </c>
      <c r="E285" s="141" t="s">
        <v>1017</v>
      </c>
      <c r="F285" s="140">
        <v>92</v>
      </c>
      <c r="G285" s="140">
        <v>92</v>
      </c>
      <c r="H285" s="179">
        <v>9021518.2699999996</v>
      </c>
      <c r="I285" s="154"/>
      <c r="J285" s="155"/>
    </row>
    <row r="286" spans="2:10">
      <c r="B286" s="139" t="s">
        <v>395</v>
      </c>
      <c r="C286" s="140" t="s">
        <v>547</v>
      </c>
      <c r="D286" s="175" t="s">
        <v>95</v>
      </c>
      <c r="E286" s="141" t="s">
        <v>1018</v>
      </c>
      <c r="F286" s="140">
        <v>40</v>
      </c>
      <c r="G286" s="140">
        <v>40</v>
      </c>
      <c r="H286" s="179">
        <v>1144433.05</v>
      </c>
      <c r="I286" s="154"/>
      <c r="J286" s="155"/>
    </row>
    <row r="287" spans="2:10">
      <c r="B287" s="139" t="s">
        <v>396</v>
      </c>
      <c r="C287" s="140" t="s">
        <v>547</v>
      </c>
      <c r="D287" s="175" t="s">
        <v>29</v>
      </c>
      <c r="E287" s="141" t="s">
        <v>1019</v>
      </c>
      <c r="F287" s="140">
        <v>32</v>
      </c>
      <c r="G287" s="140">
        <v>32</v>
      </c>
      <c r="H287" s="179">
        <v>2332739.6</v>
      </c>
      <c r="I287" s="154"/>
      <c r="J287" s="155"/>
    </row>
    <row r="288" spans="2:10">
      <c r="B288" s="139" t="s">
        <v>33</v>
      </c>
      <c r="C288" s="140" t="s">
        <v>549</v>
      </c>
      <c r="D288" s="175" t="s">
        <v>100</v>
      </c>
      <c r="E288" s="141" t="s">
        <v>1020</v>
      </c>
      <c r="F288" s="140">
        <v>50</v>
      </c>
      <c r="G288" s="140">
        <v>50</v>
      </c>
      <c r="H288" s="179">
        <v>2826391.86</v>
      </c>
      <c r="I288" s="154"/>
      <c r="J288" s="155"/>
    </row>
    <row r="289" spans="2:10">
      <c r="B289" s="139" t="s">
        <v>584</v>
      </c>
      <c r="C289" s="140" t="s">
        <v>547</v>
      </c>
      <c r="D289" s="175" t="s">
        <v>126</v>
      </c>
      <c r="E289" s="141" t="s">
        <v>1021</v>
      </c>
      <c r="F289" s="140">
        <v>23</v>
      </c>
      <c r="G289" s="140">
        <v>23</v>
      </c>
      <c r="H289" s="179">
        <v>935144.37</v>
      </c>
      <c r="I289" s="154"/>
      <c r="J289" s="155"/>
    </row>
    <row r="290" spans="2:10">
      <c r="B290" s="139" t="s">
        <v>397</v>
      </c>
      <c r="C290" s="140" t="s">
        <v>549</v>
      </c>
      <c r="D290" s="175" t="s">
        <v>137</v>
      </c>
      <c r="E290" s="141" t="s">
        <v>1022</v>
      </c>
      <c r="F290" s="140">
        <v>68</v>
      </c>
      <c r="G290" s="140">
        <v>68</v>
      </c>
      <c r="H290" s="179">
        <v>10857235.83</v>
      </c>
      <c r="I290" s="154"/>
      <c r="J290" s="155"/>
    </row>
    <row r="291" spans="2:10">
      <c r="B291" s="139" t="s">
        <v>1023</v>
      </c>
      <c r="C291" s="140" t="s">
        <v>547</v>
      </c>
      <c r="D291" s="175" t="s">
        <v>120</v>
      </c>
      <c r="E291" s="141" t="s">
        <v>1024</v>
      </c>
      <c r="F291" s="140">
        <v>66</v>
      </c>
      <c r="G291" s="140">
        <v>66</v>
      </c>
      <c r="H291" s="179">
        <v>6650969.0999999996</v>
      </c>
      <c r="I291" s="154"/>
      <c r="J291" s="155"/>
    </row>
    <row r="292" spans="2:10">
      <c r="B292" s="139" t="s">
        <v>398</v>
      </c>
      <c r="C292" s="140" t="s">
        <v>547</v>
      </c>
      <c r="D292" s="175" t="s">
        <v>116</v>
      </c>
      <c r="E292" s="141" t="s">
        <v>1025</v>
      </c>
      <c r="F292" s="140">
        <v>50</v>
      </c>
      <c r="G292" s="140">
        <v>50</v>
      </c>
      <c r="H292" s="179">
        <v>6008350.5800000001</v>
      </c>
      <c r="I292" s="154"/>
      <c r="J292" s="155"/>
    </row>
    <row r="293" spans="2:10">
      <c r="B293" s="139" t="s">
        <v>636</v>
      </c>
      <c r="C293" s="140" t="s">
        <v>547</v>
      </c>
      <c r="D293" s="175" t="s">
        <v>116</v>
      </c>
      <c r="E293" s="141" t="s">
        <v>1026</v>
      </c>
      <c r="F293" s="140">
        <v>35</v>
      </c>
      <c r="G293" s="140">
        <v>35</v>
      </c>
      <c r="H293" s="179">
        <v>3699321.72</v>
      </c>
      <c r="I293" s="154"/>
      <c r="J293" s="155"/>
    </row>
    <row r="294" spans="2:10">
      <c r="B294" s="139" t="s">
        <v>399</v>
      </c>
      <c r="C294" s="140" t="s">
        <v>549</v>
      </c>
      <c r="D294" s="175" t="s">
        <v>117</v>
      </c>
      <c r="E294" s="141" t="s">
        <v>1027</v>
      </c>
      <c r="F294" s="140">
        <v>84</v>
      </c>
      <c r="G294" s="140">
        <v>84</v>
      </c>
      <c r="H294" s="179">
        <v>8638975.7300000004</v>
      </c>
      <c r="I294" s="154"/>
      <c r="J294" s="155"/>
    </row>
    <row r="295" spans="2:10">
      <c r="B295" s="139" t="s">
        <v>400</v>
      </c>
      <c r="C295" s="140" t="s">
        <v>547</v>
      </c>
      <c r="D295" s="175" t="s">
        <v>96</v>
      </c>
      <c r="E295" s="141" t="s">
        <v>1028</v>
      </c>
      <c r="F295" s="140">
        <v>70</v>
      </c>
      <c r="G295" s="140">
        <v>70</v>
      </c>
      <c r="H295" s="179">
        <v>4429375.92</v>
      </c>
      <c r="I295" s="154"/>
      <c r="J295" s="155"/>
    </row>
    <row r="296" spans="2:10">
      <c r="B296" s="139" t="s">
        <v>401</v>
      </c>
      <c r="C296" s="140" t="s">
        <v>547</v>
      </c>
      <c r="D296" s="175" t="s">
        <v>139</v>
      </c>
      <c r="E296" s="141" t="s">
        <v>1029</v>
      </c>
      <c r="F296" s="140">
        <v>85</v>
      </c>
      <c r="G296" s="140">
        <v>85</v>
      </c>
      <c r="H296" s="179">
        <v>3428954.69</v>
      </c>
      <c r="I296" s="154"/>
      <c r="J296" s="155"/>
    </row>
    <row r="297" spans="2:10">
      <c r="B297" s="139" t="s">
        <v>402</v>
      </c>
      <c r="C297" s="140" t="s">
        <v>547</v>
      </c>
      <c r="D297" s="175" t="s">
        <v>24</v>
      </c>
      <c r="E297" s="141" t="s">
        <v>1030</v>
      </c>
      <c r="F297" s="140">
        <v>60</v>
      </c>
      <c r="G297" s="140">
        <v>60</v>
      </c>
      <c r="H297" s="179">
        <v>2416644.69</v>
      </c>
      <c r="I297" s="154"/>
      <c r="J297" s="155"/>
    </row>
    <row r="298" spans="2:10">
      <c r="B298" s="139" t="s">
        <v>403</v>
      </c>
      <c r="C298" s="140" t="s">
        <v>549</v>
      </c>
      <c r="D298" s="175" t="s">
        <v>136</v>
      </c>
      <c r="E298" s="141" t="s">
        <v>1031</v>
      </c>
      <c r="F298" s="140">
        <v>45</v>
      </c>
      <c r="G298" s="140">
        <v>46</v>
      </c>
      <c r="H298" s="179">
        <v>4797944.72</v>
      </c>
      <c r="I298" s="154"/>
      <c r="J298" s="155"/>
    </row>
    <row r="299" spans="2:10">
      <c r="B299" s="139" t="s">
        <v>404</v>
      </c>
      <c r="C299" s="140" t="s">
        <v>547</v>
      </c>
      <c r="D299" s="175" t="s">
        <v>117</v>
      </c>
      <c r="E299" s="141" t="s">
        <v>1032</v>
      </c>
      <c r="F299" s="140">
        <v>60</v>
      </c>
      <c r="G299" s="140">
        <v>60</v>
      </c>
      <c r="H299" s="179">
        <v>4814967.63</v>
      </c>
      <c r="I299" s="154"/>
      <c r="J299" s="155"/>
    </row>
    <row r="300" spans="2:10">
      <c r="B300" s="139" t="s">
        <v>405</v>
      </c>
      <c r="C300" s="140" t="s">
        <v>549</v>
      </c>
      <c r="D300" s="175" t="s">
        <v>97</v>
      </c>
      <c r="E300" s="141" t="s">
        <v>1033</v>
      </c>
      <c r="F300" s="140">
        <v>93</v>
      </c>
      <c r="G300" s="140">
        <v>105</v>
      </c>
      <c r="H300" s="179">
        <v>12276234.369999999</v>
      </c>
      <c r="I300" s="154"/>
      <c r="J300" s="155"/>
    </row>
    <row r="301" spans="2:10">
      <c r="B301" s="139" t="s">
        <v>406</v>
      </c>
      <c r="C301" s="140" t="s">
        <v>549</v>
      </c>
      <c r="D301" s="175" t="s">
        <v>156</v>
      </c>
      <c r="E301" s="141" t="s">
        <v>1034</v>
      </c>
      <c r="F301" s="140">
        <v>47</v>
      </c>
      <c r="G301" s="140">
        <v>60</v>
      </c>
      <c r="H301" s="179">
        <v>3461647.43</v>
      </c>
      <c r="I301" s="154"/>
      <c r="J301" s="155"/>
    </row>
    <row r="302" spans="2:10">
      <c r="B302" s="139" t="s">
        <v>407</v>
      </c>
      <c r="C302" s="140" t="s">
        <v>549</v>
      </c>
      <c r="D302" s="175" t="s">
        <v>122</v>
      </c>
      <c r="E302" s="141" t="s">
        <v>1035</v>
      </c>
      <c r="F302" s="140">
        <v>43</v>
      </c>
      <c r="G302" s="140">
        <v>43</v>
      </c>
      <c r="H302" s="179">
        <v>321642.44</v>
      </c>
      <c r="I302" s="154"/>
      <c r="J302" s="155"/>
    </row>
    <row r="303" spans="2:10">
      <c r="B303" s="139" t="s">
        <v>1036</v>
      </c>
      <c r="C303" s="140" t="s">
        <v>549</v>
      </c>
      <c r="D303" s="175" t="s">
        <v>122</v>
      </c>
      <c r="E303" s="141" t="s">
        <v>1035</v>
      </c>
      <c r="F303" s="140">
        <v>0</v>
      </c>
      <c r="G303" s="140">
        <v>0</v>
      </c>
      <c r="H303" s="179">
        <v>6208415.2000000002</v>
      </c>
      <c r="I303" s="154"/>
      <c r="J303" s="155"/>
    </row>
    <row r="304" spans="2:10">
      <c r="B304" s="139" t="s">
        <v>408</v>
      </c>
      <c r="C304" s="140" t="s">
        <v>549</v>
      </c>
      <c r="D304" s="175" t="s">
        <v>109</v>
      </c>
      <c r="E304" s="141" t="s">
        <v>1037</v>
      </c>
      <c r="F304" s="140">
        <v>80</v>
      </c>
      <c r="G304" s="140">
        <v>80</v>
      </c>
      <c r="H304" s="179">
        <v>10735158.550000001</v>
      </c>
      <c r="I304" s="154"/>
      <c r="J304" s="155"/>
    </row>
    <row r="305" spans="2:10">
      <c r="B305" s="139" t="s">
        <v>409</v>
      </c>
      <c r="C305" s="140" t="s">
        <v>547</v>
      </c>
      <c r="D305" s="175" t="s">
        <v>901</v>
      </c>
      <c r="E305" s="141" t="s">
        <v>1038</v>
      </c>
      <c r="F305" s="140">
        <v>5</v>
      </c>
      <c r="G305" s="140">
        <v>5</v>
      </c>
      <c r="H305" s="179">
        <v>310797.84999999998</v>
      </c>
      <c r="I305" s="154"/>
      <c r="J305" s="155"/>
    </row>
    <row r="306" spans="2:10">
      <c r="B306" s="139" t="s">
        <v>410</v>
      </c>
      <c r="C306" s="140" t="s">
        <v>549</v>
      </c>
      <c r="D306" s="175" t="s">
        <v>106</v>
      </c>
      <c r="E306" s="141" t="s">
        <v>1039</v>
      </c>
      <c r="F306" s="140">
        <v>70</v>
      </c>
      <c r="G306" s="140">
        <v>70</v>
      </c>
      <c r="H306" s="179">
        <v>6669391.5499999998</v>
      </c>
      <c r="I306" s="154"/>
      <c r="J306" s="155"/>
    </row>
    <row r="307" spans="2:10">
      <c r="B307" s="139" t="s">
        <v>411</v>
      </c>
      <c r="C307" s="140" t="s">
        <v>549</v>
      </c>
      <c r="D307" s="175" t="s">
        <v>102</v>
      </c>
      <c r="E307" s="141" t="s">
        <v>1040</v>
      </c>
      <c r="F307" s="140">
        <v>40</v>
      </c>
      <c r="G307" s="140">
        <v>48</v>
      </c>
      <c r="H307" s="179">
        <v>4422126.99</v>
      </c>
      <c r="I307" s="154"/>
      <c r="J307" s="155"/>
    </row>
    <row r="308" spans="2:10">
      <c r="B308" s="139" t="s">
        <v>412</v>
      </c>
      <c r="C308" s="140" t="s">
        <v>549</v>
      </c>
      <c r="D308" s="175" t="s">
        <v>32</v>
      </c>
      <c r="E308" s="141" t="s">
        <v>1041</v>
      </c>
      <c r="F308" s="140">
        <v>30</v>
      </c>
      <c r="G308" s="140">
        <v>30</v>
      </c>
      <c r="H308" s="179">
        <v>2494446.96</v>
      </c>
      <c r="I308" s="154"/>
      <c r="J308" s="155"/>
    </row>
    <row r="309" spans="2:10">
      <c r="B309" s="139" t="s">
        <v>637</v>
      </c>
      <c r="C309" s="140" t="s">
        <v>547</v>
      </c>
      <c r="D309" s="175" t="s">
        <v>139</v>
      </c>
      <c r="E309" s="141" t="s">
        <v>1042</v>
      </c>
      <c r="F309" s="140">
        <v>47</v>
      </c>
      <c r="G309" s="140">
        <v>47</v>
      </c>
      <c r="H309" s="179">
        <v>2372102.2999999998</v>
      </c>
      <c r="I309" s="154"/>
      <c r="J309" s="155"/>
    </row>
    <row r="310" spans="2:10">
      <c r="B310" s="139" t="s">
        <v>413</v>
      </c>
      <c r="C310" s="140" t="s">
        <v>549</v>
      </c>
      <c r="D310" s="175" t="s">
        <v>139</v>
      </c>
      <c r="E310" s="141" t="s">
        <v>1043</v>
      </c>
      <c r="F310" s="140">
        <v>42</v>
      </c>
      <c r="G310" s="140">
        <v>42</v>
      </c>
      <c r="H310" s="179">
        <v>5536873</v>
      </c>
      <c r="I310" s="154"/>
      <c r="J310" s="155"/>
    </row>
    <row r="311" spans="2:10">
      <c r="B311" s="139" t="s">
        <v>414</v>
      </c>
      <c r="C311" s="140" t="s">
        <v>547</v>
      </c>
      <c r="D311" s="175" t="s">
        <v>140</v>
      </c>
      <c r="E311" s="141" t="s">
        <v>1044</v>
      </c>
      <c r="F311" s="140">
        <v>35</v>
      </c>
      <c r="G311" s="140">
        <v>35</v>
      </c>
      <c r="H311" s="179">
        <v>2489813.33</v>
      </c>
      <c r="I311" s="154"/>
      <c r="J311" s="155"/>
    </row>
    <row r="312" spans="2:10">
      <c r="B312" s="139" t="s">
        <v>415</v>
      </c>
      <c r="C312" s="140" t="s">
        <v>549</v>
      </c>
      <c r="D312" s="175" t="s">
        <v>117</v>
      </c>
      <c r="E312" s="141" t="s">
        <v>1045</v>
      </c>
      <c r="F312" s="140">
        <v>55</v>
      </c>
      <c r="G312" s="140">
        <v>55</v>
      </c>
      <c r="H312" s="179">
        <v>6229948.8300000001</v>
      </c>
      <c r="I312" s="154"/>
      <c r="J312" s="155"/>
    </row>
    <row r="313" spans="2:10">
      <c r="B313" s="139" t="s">
        <v>416</v>
      </c>
      <c r="C313" s="140" t="s">
        <v>549</v>
      </c>
      <c r="D313" s="175" t="s">
        <v>118</v>
      </c>
      <c r="E313" s="141" t="s">
        <v>1046</v>
      </c>
      <c r="F313" s="140">
        <v>20</v>
      </c>
      <c r="G313" s="140">
        <v>20</v>
      </c>
      <c r="H313" s="179">
        <v>2233888.0299999998</v>
      </c>
      <c r="I313" s="154"/>
      <c r="J313" s="155"/>
    </row>
    <row r="314" spans="2:10">
      <c r="B314" s="139" t="s">
        <v>638</v>
      </c>
      <c r="C314" s="140" t="s">
        <v>547</v>
      </c>
      <c r="D314" s="175" t="s">
        <v>98</v>
      </c>
      <c r="E314" s="141" t="s">
        <v>1047</v>
      </c>
      <c r="F314" s="140">
        <v>58</v>
      </c>
      <c r="G314" s="140">
        <v>58</v>
      </c>
      <c r="H314" s="179">
        <v>7459670.4100000001</v>
      </c>
      <c r="I314" s="154"/>
      <c r="J314" s="155"/>
    </row>
    <row r="315" spans="2:10">
      <c r="B315" s="139" t="s">
        <v>417</v>
      </c>
      <c r="C315" s="140" t="s">
        <v>549</v>
      </c>
      <c r="D315" s="175" t="s">
        <v>117</v>
      </c>
      <c r="E315" s="141" t="s">
        <v>1048</v>
      </c>
      <c r="F315" s="140">
        <v>28</v>
      </c>
      <c r="G315" s="140">
        <v>28</v>
      </c>
      <c r="H315" s="179">
        <v>3085940.9</v>
      </c>
      <c r="I315" s="154"/>
      <c r="J315" s="155"/>
    </row>
    <row r="316" spans="2:10">
      <c r="B316" s="139" t="s">
        <v>418</v>
      </c>
      <c r="C316" s="140" t="s">
        <v>549</v>
      </c>
      <c r="D316" s="175" t="s">
        <v>111</v>
      </c>
      <c r="E316" s="141" t="s">
        <v>1049</v>
      </c>
      <c r="F316" s="140">
        <v>58</v>
      </c>
      <c r="G316" s="140">
        <v>97</v>
      </c>
      <c r="H316" s="179">
        <v>4913954.33</v>
      </c>
      <c r="I316" s="154"/>
      <c r="J316" s="155"/>
    </row>
    <row r="317" spans="2:10">
      <c r="B317" s="139" t="s">
        <v>419</v>
      </c>
      <c r="C317" s="140" t="s">
        <v>549</v>
      </c>
      <c r="D317" s="175" t="s">
        <v>1050</v>
      </c>
      <c r="E317" s="141" t="s">
        <v>1051</v>
      </c>
      <c r="F317" s="140">
        <v>44</v>
      </c>
      <c r="G317" s="140">
        <v>44</v>
      </c>
      <c r="H317" s="179">
        <v>4032950.5</v>
      </c>
      <c r="I317" s="154"/>
      <c r="J317" s="155"/>
    </row>
    <row r="318" spans="2:10">
      <c r="B318" s="139" t="s">
        <v>420</v>
      </c>
      <c r="C318" s="140" t="s">
        <v>549</v>
      </c>
      <c r="D318" s="175" t="s">
        <v>116</v>
      </c>
      <c r="E318" s="141" t="s">
        <v>1052</v>
      </c>
      <c r="F318" s="140">
        <v>25</v>
      </c>
      <c r="G318" s="140">
        <v>25</v>
      </c>
      <c r="H318" s="179">
        <v>3391363.88</v>
      </c>
      <c r="I318" s="154"/>
      <c r="J318" s="155"/>
    </row>
    <row r="319" spans="2:10">
      <c r="B319" s="139" t="s">
        <v>421</v>
      </c>
      <c r="C319" s="140" t="s">
        <v>549</v>
      </c>
      <c r="D319" s="175" t="s">
        <v>132</v>
      </c>
      <c r="E319" s="141" t="s">
        <v>1053</v>
      </c>
      <c r="F319" s="140">
        <v>69</v>
      </c>
      <c r="G319" s="140">
        <v>75</v>
      </c>
      <c r="H319" s="179">
        <v>6859709.5999999996</v>
      </c>
      <c r="I319" s="154"/>
      <c r="J319" s="155"/>
    </row>
    <row r="320" spans="2:10">
      <c r="B320" s="139" t="s">
        <v>422</v>
      </c>
      <c r="C320" s="140" t="s">
        <v>549</v>
      </c>
      <c r="D320" s="175" t="s">
        <v>153</v>
      </c>
      <c r="E320" s="141" t="s">
        <v>1054</v>
      </c>
      <c r="F320" s="140">
        <v>100</v>
      </c>
      <c r="G320" s="140">
        <v>100</v>
      </c>
      <c r="H320" s="179">
        <v>23861949.93</v>
      </c>
      <c r="I320" s="154"/>
      <c r="J320" s="155"/>
    </row>
    <row r="321" spans="2:10">
      <c r="B321" s="139" t="s">
        <v>423</v>
      </c>
      <c r="C321" s="140" t="s">
        <v>547</v>
      </c>
      <c r="D321" s="175" t="s">
        <v>117</v>
      </c>
      <c r="E321" s="141" t="s">
        <v>1055</v>
      </c>
      <c r="F321" s="140">
        <v>35</v>
      </c>
      <c r="G321" s="140">
        <v>35</v>
      </c>
      <c r="H321" s="179">
        <v>1753545.78</v>
      </c>
      <c r="I321" s="154"/>
      <c r="J321" s="155"/>
    </row>
    <row r="322" spans="2:10">
      <c r="B322" s="139" t="s">
        <v>424</v>
      </c>
      <c r="C322" s="140" t="s">
        <v>547</v>
      </c>
      <c r="D322" s="175" t="s">
        <v>117</v>
      </c>
      <c r="E322" s="141" t="s">
        <v>1056</v>
      </c>
      <c r="F322" s="140">
        <v>65</v>
      </c>
      <c r="G322" s="140">
        <v>65</v>
      </c>
      <c r="H322" s="179">
        <v>6432765.8600000003</v>
      </c>
      <c r="I322" s="154"/>
      <c r="J322" s="155"/>
    </row>
    <row r="323" spans="2:10">
      <c r="B323" s="139" t="s">
        <v>425</v>
      </c>
      <c r="C323" s="140" t="s">
        <v>547</v>
      </c>
      <c r="D323" s="175" t="s">
        <v>113</v>
      </c>
      <c r="E323" s="141" t="s">
        <v>1057</v>
      </c>
      <c r="F323" s="140">
        <v>25</v>
      </c>
      <c r="G323" s="140">
        <v>25</v>
      </c>
      <c r="H323" s="179">
        <v>1131045.1200000001</v>
      </c>
      <c r="I323" s="154"/>
      <c r="J323" s="155"/>
    </row>
    <row r="324" spans="2:10">
      <c r="B324" s="139" t="s">
        <v>1058</v>
      </c>
      <c r="C324" s="140" t="s">
        <v>547</v>
      </c>
      <c r="D324" s="175" t="s">
        <v>113</v>
      </c>
      <c r="E324" s="141" t="s">
        <v>1059</v>
      </c>
      <c r="F324" s="140">
        <v>40</v>
      </c>
      <c r="G324" s="140">
        <v>40</v>
      </c>
      <c r="H324" s="179">
        <v>2079060.74</v>
      </c>
      <c r="I324" s="154"/>
      <c r="J324" s="155"/>
    </row>
    <row r="325" spans="2:10">
      <c r="B325" s="139" t="s">
        <v>426</v>
      </c>
      <c r="C325" s="140" t="s">
        <v>549</v>
      </c>
      <c r="D325" s="175" t="s">
        <v>130</v>
      </c>
      <c r="E325" s="141" t="s">
        <v>1060</v>
      </c>
      <c r="F325" s="140">
        <v>47</v>
      </c>
      <c r="G325" s="140">
        <v>47</v>
      </c>
      <c r="H325" s="179">
        <v>6968642.2999999998</v>
      </c>
      <c r="I325" s="154"/>
      <c r="J325" s="155"/>
    </row>
    <row r="326" spans="2:10">
      <c r="B326" s="139" t="s">
        <v>427</v>
      </c>
      <c r="C326" s="140" t="s">
        <v>547</v>
      </c>
      <c r="D326" s="175" t="s">
        <v>147</v>
      </c>
      <c r="E326" s="141" t="s">
        <v>1061</v>
      </c>
      <c r="F326" s="140">
        <v>81</v>
      </c>
      <c r="G326" s="140">
        <v>81</v>
      </c>
      <c r="H326" s="179">
        <v>5904981.5899999999</v>
      </c>
      <c r="I326" s="154"/>
      <c r="J326" s="155"/>
    </row>
    <row r="327" spans="2:10">
      <c r="B327" s="139" t="s">
        <v>428</v>
      </c>
      <c r="C327" s="140" t="s">
        <v>549</v>
      </c>
      <c r="D327" s="175" t="s">
        <v>109</v>
      </c>
      <c r="E327" s="141" t="s">
        <v>1062</v>
      </c>
      <c r="F327" s="140">
        <v>40</v>
      </c>
      <c r="G327" s="140">
        <v>41</v>
      </c>
      <c r="H327" s="179">
        <v>4076534.55</v>
      </c>
      <c r="I327" s="154"/>
      <c r="J327" s="155"/>
    </row>
    <row r="328" spans="2:10">
      <c r="B328" s="139" t="s">
        <v>429</v>
      </c>
      <c r="C328" s="140" t="s">
        <v>549</v>
      </c>
      <c r="D328" s="175" t="s">
        <v>107</v>
      </c>
      <c r="E328" s="141" t="s">
        <v>1063</v>
      </c>
      <c r="F328" s="140">
        <v>79</v>
      </c>
      <c r="G328" s="140">
        <v>88</v>
      </c>
      <c r="H328" s="179">
        <v>13559159.17</v>
      </c>
      <c r="I328" s="154"/>
      <c r="J328" s="155"/>
    </row>
    <row r="329" spans="2:10">
      <c r="B329" s="139" t="s">
        <v>1064</v>
      </c>
      <c r="C329" s="140" t="s">
        <v>549</v>
      </c>
      <c r="D329" s="175" t="s">
        <v>132</v>
      </c>
      <c r="E329" s="141" t="s">
        <v>1065</v>
      </c>
      <c r="F329" s="140">
        <v>90</v>
      </c>
      <c r="G329" s="140">
        <v>90</v>
      </c>
      <c r="H329" s="179">
        <v>14602691.34</v>
      </c>
      <c r="I329" s="154"/>
      <c r="J329" s="155"/>
    </row>
    <row r="330" spans="2:10">
      <c r="B330" s="139" t="s">
        <v>1066</v>
      </c>
      <c r="C330" s="140" t="s">
        <v>547</v>
      </c>
      <c r="D330" s="175" t="s">
        <v>27</v>
      </c>
      <c r="E330" s="141" t="s">
        <v>1067</v>
      </c>
      <c r="F330" s="140">
        <v>30</v>
      </c>
      <c r="G330" s="140">
        <v>30</v>
      </c>
      <c r="H330" s="179">
        <v>1176843.43</v>
      </c>
      <c r="I330" s="154"/>
      <c r="J330" s="155"/>
    </row>
    <row r="331" spans="2:10">
      <c r="B331" s="139" t="s">
        <v>431</v>
      </c>
      <c r="C331" s="140" t="s">
        <v>549</v>
      </c>
      <c r="D331" s="175" t="s">
        <v>147</v>
      </c>
      <c r="E331" s="141" t="s">
        <v>1068</v>
      </c>
      <c r="F331" s="140">
        <v>40</v>
      </c>
      <c r="G331" s="140">
        <v>40</v>
      </c>
      <c r="H331" s="179">
        <v>2027560.01</v>
      </c>
      <c r="I331" s="154"/>
      <c r="J331" s="155"/>
    </row>
    <row r="332" spans="2:10">
      <c r="B332" s="139" t="s">
        <v>432</v>
      </c>
      <c r="C332" s="140" t="s">
        <v>549</v>
      </c>
      <c r="D332" s="175" t="s">
        <v>154</v>
      </c>
      <c r="E332" s="141" t="s">
        <v>1069</v>
      </c>
      <c r="F332" s="140">
        <v>52</v>
      </c>
      <c r="G332" s="140">
        <v>52</v>
      </c>
      <c r="H332" s="179">
        <v>4787641.8499999996</v>
      </c>
      <c r="I332" s="154"/>
      <c r="J332" s="155"/>
    </row>
    <row r="333" spans="2:10">
      <c r="B333" s="139" t="s">
        <v>433</v>
      </c>
      <c r="C333" s="140" t="s">
        <v>549</v>
      </c>
      <c r="D333" s="175" t="s">
        <v>158</v>
      </c>
      <c r="E333" s="141" t="s">
        <v>1070</v>
      </c>
      <c r="F333" s="140">
        <v>19</v>
      </c>
      <c r="G333" s="140">
        <v>19</v>
      </c>
      <c r="H333" s="179">
        <v>2159910.4700000002</v>
      </c>
      <c r="I333" s="154"/>
      <c r="J333" s="155"/>
    </row>
    <row r="334" spans="2:10">
      <c r="B334" s="139" t="s">
        <v>434</v>
      </c>
      <c r="C334" s="140" t="s">
        <v>549</v>
      </c>
      <c r="D334" s="175" t="s">
        <v>135</v>
      </c>
      <c r="E334" s="141" t="s">
        <v>1071</v>
      </c>
      <c r="F334" s="140">
        <v>33</v>
      </c>
      <c r="G334" s="140">
        <v>33</v>
      </c>
      <c r="H334" s="179">
        <v>4561321.33</v>
      </c>
      <c r="I334" s="154"/>
      <c r="J334" s="155"/>
    </row>
    <row r="335" spans="2:10">
      <c r="B335" s="139" t="s">
        <v>435</v>
      </c>
      <c r="C335" s="140" t="s">
        <v>547</v>
      </c>
      <c r="D335" s="175" t="s">
        <v>901</v>
      </c>
      <c r="E335" s="141" t="s">
        <v>1072</v>
      </c>
      <c r="F335" s="140">
        <v>34</v>
      </c>
      <c r="G335" s="140">
        <v>34</v>
      </c>
      <c r="H335" s="179">
        <v>3124672.13</v>
      </c>
      <c r="I335" s="154"/>
      <c r="J335" s="155"/>
    </row>
    <row r="336" spans="2:10">
      <c r="B336" s="139" t="s">
        <v>436</v>
      </c>
      <c r="C336" s="140" t="s">
        <v>549</v>
      </c>
      <c r="D336" s="175" t="s">
        <v>96</v>
      </c>
      <c r="E336" s="141" t="s">
        <v>1073</v>
      </c>
      <c r="F336" s="140">
        <v>54</v>
      </c>
      <c r="G336" s="140">
        <v>54</v>
      </c>
      <c r="H336" s="179">
        <v>4362658.4400000004</v>
      </c>
      <c r="I336" s="154"/>
      <c r="J336" s="155"/>
    </row>
    <row r="337" spans="2:10">
      <c r="B337" s="139" t="s">
        <v>640</v>
      </c>
      <c r="C337" s="140" t="s">
        <v>547</v>
      </c>
      <c r="D337" s="175" t="s">
        <v>109</v>
      </c>
      <c r="E337" s="141" t="s">
        <v>1074</v>
      </c>
      <c r="F337" s="140">
        <v>68</v>
      </c>
      <c r="G337" s="140">
        <v>68</v>
      </c>
      <c r="H337" s="179">
        <v>4301221.55</v>
      </c>
      <c r="I337" s="154"/>
      <c r="J337" s="155"/>
    </row>
    <row r="338" spans="2:10">
      <c r="B338" s="139" t="s">
        <v>437</v>
      </c>
      <c r="C338" s="140" t="s">
        <v>549</v>
      </c>
      <c r="D338" s="175" t="s">
        <v>120</v>
      </c>
      <c r="E338" s="141" t="s">
        <v>1075</v>
      </c>
      <c r="F338" s="140">
        <v>40</v>
      </c>
      <c r="G338" s="140">
        <v>59</v>
      </c>
      <c r="H338" s="179">
        <v>2287268.91</v>
      </c>
      <c r="I338" s="154"/>
      <c r="J338" s="155"/>
    </row>
    <row r="339" spans="2:10">
      <c r="B339" s="139" t="s">
        <v>641</v>
      </c>
      <c r="C339" s="140" t="s">
        <v>547</v>
      </c>
      <c r="D339" s="175" t="s">
        <v>131</v>
      </c>
      <c r="E339" s="141" t="s">
        <v>1076</v>
      </c>
      <c r="F339" s="140">
        <v>70</v>
      </c>
      <c r="G339" s="140">
        <v>70</v>
      </c>
      <c r="H339" s="179">
        <v>4274783.43</v>
      </c>
      <c r="I339" s="154"/>
      <c r="J339" s="155"/>
    </row>
    <row r="340" spans="2:10">
      <c r="B340" s="139" t="s">
        <v>438</v>
      </c>
      <c r="C340" s="140" t="s">
        <v>549</v>
      </c>
      <c r="D340" s="175" t="s">
        <v>115</v>
      </c>
      <c r="E340" s="141" t="s">
        <v>1077</v>
      </c>
      <c r="F340" s="140">
        <v>35</v>
      </c>
      <c r="G340" s="140">
        <v>35</v>
      </c>
      <c r="H340" s="179">
        <v>4009979.75</v>
      </c>
      <c r="I340" s="154"/>
      <c r="J340" s="155"/>
    </row>
    <row r="341" spans="2:10">
      <c r="B341" s="139" t="s">
        <v>439</v>
      </c>
      <c r="C341" s="140" t="s">
        <v>549</v>
      </c>
      <c r="D341" s="175" t="s">
        <v>102</v>
      </c>
      <c r="E341" s="141" t="s">
        <v>1078</v>
      </c>
      <c r="F341" s="140">
        <v>42</v>
      </c>
      <c r="G341" s="140">
        <v>42</v>
      </c>
      <c r="H341" s="179">
        <v>3661185.38</v>
      </c>
      <c r="I341" s="154"/>
      <c r="J341" s="155"/>
    </row>
    <row r="342" spans="2:10">
      <c r="B342" s="139" t="s">
        <v>440</v>
      </c>
      <c r="C342" s="140" t="s">
        <v>549</v>
      </c>
      <c r="D342" s="175" t="s">
        <v>111</v>
      </c>
      <c r="E342" s="141" t="s">
        <v>1079</v>
      </c>
      <c r="F342" s="140">
        <v>40</v>
      </c>
      <c r="G342" s="140">
        <v>45</v>
      </c>
      <c r="H342" s="179">
        <v>3527673.4</v>
      </c>
      <c r="I342" s="154"/>
      <c r="J342" s="155"/>
    </row>
    <row r="343" spans="2:10">
      <c r="B343" s="139" t="s">
        <v>441</v>
      </c>
      <c r="C343" s="140" t="s">
        <v>549</v>
      </c>
      <c r="D343" s="175" t="s">
        <v>96</v>
      </c>
      <c r="E343" s="141" t="s">
        <v>1080</v>
      </c>
      <c r="F343" s="140">
        <v>28</v>
      </c>
      <c r="G343" s="140">
        <v>28</v>
      </c>
      <c r="H343" s="179">
        <v>2180244.7799999998</v>
      </c>
      <c r="I343" s="154"/>
      <c r="J343" s="155"/>
    </row>
    <row r="344" spans="2:10">
      <c r="B344" s="139" t="s">
        <v>442</v>
      </c>
      <c r="C344" s="140" t="s">
        <v>547</v>
      </c>
      <c r="D344" s="175" t="s">
        <v>149</v>
      </c>
      <c r="E344" s="141" t="s">
        <v>1081</v>
      </c>
      <c r="F344" s="140">
        <v>68</v>
      </c>
      <c r="G344" s="140">
        <v>70</v>
      </c>
      <c r="H344" s="179">
        <v>3979851.46</v>
      </c>
      <c r="I344" s="154"/>
      <c r="J344" s="155"/>
    </row>
    <row r="345" spans="2:10">
      <c r="B345" s="139" t="s">
        <v>559</v>
      </c>
      <c r="C345" s="140" t="s">
        <v>549</v>
      </c>
      <c r="D345" s="175" t="s">
        <v>109</v>
      </c>
      <c r="E345" s="141" t="s">
        <v>1082</v>
      </c>
      <c r="F345" s="140">
        <v>44</v>
      </c>
      <c r="G345" s="140">
        <v>60</v>
      </c>
      <c r="H345" s="179">
        <v>3953473.96</v>
      </c>
      <c r="I345" s="154"/>
      <c r="J345" s="155"/>
    </row>
    <row r="346" spans="2:10">
      <c r="B346" s="139" t="s">
        <v>443</v>
      </c>
      <c r="C346" s="140" t="s">
        <v>547</v>
      </c>
      <c r="D346" s="175" t="s">
        <v>140</v>
      </c>
      <c r="E346" s="141" t="s">
        <v>1083</v>
      </c>
      <c r="F346" s="140">
        <v>40</v>
      </c>
      <c r="G346" s="140">
        <v>48</v>
      </c>
      <c r="H346" s="179">
        <v>693102.11</v>
      </c>
      <c r="I346" s="154"/>
      <c r="J346" s="155"/>
    </row>
    <row r="347" spans="2:10">
      <c r="B347" s="139" t="s">
        <v>444</v>
      </c>
      <c r="C347" s="140" t="s">
        <v>549</v>
      </c>
      <c r="D347" s="175" t="s">
        <v>140</v>
      </c>
      <c r="E347" s="141" t="s">
        <v>1084</v>
      </c>
      <c r="F347" s="140">
        <v>70</v>
      </c>
      <c r="G347" s="140">
        <v>70</v>
      </c>
      <c r="H347" s="179">
        <v>12545649.119999999</v>
      </c>
      <c r="I347" s="154"/>
      <c r="J347" s="155"/>
    </row>
    <row r="348" spans="2:10">
      <c r="B348" s="139" t="s">
        <v>642</v>
      </c>
      <c r="C348" s="140" t="s">
        <v>547</v>
      </c>
      <c r="D348" s="175" t="s">
        <v>140</v>
      </c>
      <c r="E348" s="141" t="s">
        <v>1085</v>
      </c>
      <c r="F348" s="140">
        <v>75</v>
      </c>
      <c r="G348" s="140">
        <v>75</v>
      </c>
      <c r="H348" s="179">
        <v>6484300.4800000004</v>
      </c>
      <c r="I348" s="154"/>
      <c r="J348" s="155"/>
    </row>
    <row r="349" spans="2:10">
      <c r="B349" s="139" t="s">
        <v>445</v>
      </c>
      <c r="C349" s="140" t="s">
        <v>549</v>
      </c>
      <c r="D349" s="175" t="s">
        <v>112</v>
      </c>
      <c r="E349" s="141" t="s">
        <v>1086</v>
      </c>
      <c r="F349" s="140">
        <v>103</v>
      </c>
      <c r="G349" s="140">
        <v>103</v>
      </c>
      <c r="H349" s="179">
        <v>20550470.190000001</v>
      </c>
      <c r="I349" s="154"/>
      <c r="J349" s="155"/>
    </row>
    <row r="350" spans="2:10">
      <c r="B350" s="139" t="s">
        <v>446</v>
      </c>
      <c r="C350" s="140" t="s">
        <v>549</v>
      </c>
      <c r="D350" s="175" t="s">
        <v>122</v>
      </c>
      <c r="E350" s="141" t="s">
        <v>1087</v>
      </c>
      <c r="F350" s="140">
        <v>80</v>
      </c>
      <c r="G350" s="140">
        <v>80</v>
      </c>
      <c r="H350" s="179">
        <v>23757226.399999999</v>
      </c>
      <c r="I350" s="154"/>
      <c r="J350" s="155"/>
    </row>
    <row r="351" spans="2:10">
      <c r="B351" s="139" t="s">
        <v>447</v>
      </c>
      <c r="C351" s="140" t="s">
        <v>549</v>
      </c>
      <c r="D351" s="175" t="s">
        <v>126</v>
      </c>
      <c r="E351" s="141" t="s">
        <v>1088</v>
      </c>
      <c r="F351" s="140">
        <v>20</v>
      </c>
      <c r="G351" s="140">
        <v>35</v>
      </c>
      <c r="H351" s="179">
        <v>2605152.91</v>
      </c>
      <c r="I351" s="154"/>
      <c r="J351" s="155"/>
    </row>
    <row r="352" spans="2:10">
      <c r="B352" s="139" t="s">
        <v>448</v>
      </c>
      <c r="C352" s="140" t="s">
        <v>549</v>
      </c>
      <c r="D352" s="175" t="s">
        <v>101</v>
      </c>
      <c r="E352" s="141" t="s">
        <v>1089</v>
      </c>
      <c r="F352" s="140">
        <v>30</v>
      </c>
      <c r="G352" s="140">
        <v>30</v>
      </c>
      <c r="H352" s="179">
        <v>2523372.37</v>
      </c>
      <c r="I352" s="154"/>
      <c r="J352" s="155"/>
    </row>
    <row r="353" spans="2:10">
      <c r="B353" s="139" t="s">
        <v>449</v>
      </c>
      <c r="C353" s="140" t="s">
        <v>549</v>
      </c>
      <c r="D353" s="175" t="s">
        <v>22</v>
      </c>
      <c r="E353" s="141" t="s">
        <v>1090</v>
      </c>
      <c r="F353" s="140">
        <v>25</v>
      </c>
      <c r="G353" s="140">
        <v>25</v>
      </c>
      <c r="H353" s="179">
        <v>2022056.57</v>
      </c>
      <c r="I353" s="154"/>
      <c r="J353" s="155"/>
    </row>
    <row r="354" spans="2:10">
      <c r="B354" s="139" t="s">
        <v>450</v>
      </c>
      <c r="C354" s="140" t="s">
        <v>549</v>
      </c>
      <c r="D354" s="175" t="s">
        <v>137</v>
      </c>
      <c r="E354" s="141" t="s">
        <v>1091</v>
      </c>
      <c r="F354" s="140">
        <v>60</v>
      </c>
      <c r="G354" s="140">
        <v>70</v>
      </c>
      <c r="H354" s="179">
        <v>8218995.7800000003</v>
      </c>
      <c r="I354" s="154"/>
      <c r="J354" s="155"/>
    </row>
    <row r="355" spans="2:10">
      <c r="B355" s="139" t="s">
        <v>451</v>
      </c>
      <c r="C355" s="140" t="s">
        <v>549</v>
      </c>
      <c r="D355" s="175" t="s">
        <v>122</v>
      </c>
      <c r="E355" s="141" t="s">
        <v>1092</v>
      </c>
      <c r="F355" s="140">
        <v>31</v>
      </c>
      <c r="G355" s="140">
        <v>31</v>
      </c>
      <c r="H355" s="179">
        <v>7195450.5599999996</v>
      </c>
      <c r="I355" s="154"/>
      <c r="J355" s="155"/>
    </row>
    <row r="356" spans="2:10">
      <c r="B356" s="139" t="s">
        <v>452</v>
      </c>
      <c r="C356" s="140" t="s">
        <v>549</v>
      </c>
      <c r="D356" s="175" t="s">
        <v>124</v>
      </c>
      <c r="E356" s="141" t="s">
        <v>1093</v>
      </c>
      <c r="F356" s="140">
        <v>91</v>
      </c>
      <c r="G356" s="140">
        <v>91</v>
      </c>
      <c r="H356" s="179">
        <v>10909225.1</v>
      </c>
      <c r="I356" s="154"/>
      <c r="J356" s="155"/>
    </row>
    <row r="357" spans="2:10">
      <c r="B357" s="139" t="s">
        <v>453</v>
      </c>
      <c r="C357" s="140" t="s">
        <v>547</v>
      </c>
      <c r="D357" s="175" t="s">
        <v>32</v>
      </c>
      <c r="E357" s="141" t="s">
        <v>1094</v>
      </c>
      <c r="F357" s="140">
        <v>80</v>
      </c>
      <c r="G357" s="140">
        <v>80</v>
      </c>
      <c r="H357" s="179">
        <v>4828928.0999999996</v>
      </c>
      <c r="I357" s="154"/>
      <c r="J357" s="155"/>
    </row>
    <row r="358" spans="2:10">
      <c r="B358" s="139" t="s">
        <v>454</v>
      </c>
      <c r="C358" s="140" t="s">
        <v>549</v>
      </c>
      <c r="D358" s="175" t="s">
        <v>1095</v>
      </c>
      <c r="E358" s="141" t="s">
        <v>1096</v>
      </c>
      <c r="F358" s="140">
        <v>25</v>
      </c>
      <c r="G358" s="140">
        <v>25</v>
      </c>
      <c r="H358" s="179">
        <v>1612711.97</v>
      </c>
      <c r="I358" s="154"/>
      <c r="J358" s="155"/>
    </row>
    <row r="359" spans="2:10">
      <c r="B359" s="139" t="s">
        <v>455</v>
      </c>
      <c r="C359" s="140" t="s">
        <v>549</v>
      </c>
      <c r="D359" s="175" t="s">
        <v>140</v>
      </c>
      <c r="E359" s="141" t="s">
        <v>1097</v>
      </c>
      <c r="F359" s="140">
        <v>30</v>
      </c>
      <c r="G359" s="140">
        <v>30</v>
      </c>
      <c r="H359" s="179">
        <v>772678.24</v>
      </c>
      <c r="I359" s="154"/>
      <c r="J359" s="155"/>
    </row>
    <row r="360" spans="2:10">
      <c r="B360" s="139" t="s">
        <v>1098</v>
      </c>
      <c r="C360" s="140" t="s">
        <v>549</v>
      </c>
      <c r="D360" s="175" t="s">
        <v>140</v>
      </c>
      <c r="E360" s="141" t="s">
        <v>1097</v>
      </c>
      <c r="F360" s="140">
        <v>0</v>
      </c>
      <c r="G360" s="140">
        <v>0</v>
      </c>
      <c r="H360" s="179">
        <v>1872221</v>
      </c>
      <c r="I360" s="154"/>
      <c r="J360" s="155"/>
    </row>
    <row r="361" spans="2:10">
      <c r="B361" s="139" t="s">
        <v>643</v>
      </c>
      <c r="C361" s="140" t="s">
        <v>547</v>
      </c>
      <c r="D361" s="175" t="s">
        <v>140</v>
      </c>
      <c r="E361" s="141" t="s">
        <v>1099</v>
      </c>
      <c r="F361" s="140">
        <v>60</v>
      </c>
      <c r="G361" s="140">
        <v>100</v>
      </c>
      <c r="H361" s="179">
        <v>5187429.07</v>
      </c>
      <c r="I361" s="154"/>
      <c r="J361" s="155"/>
    </row>
    <row r="362" spans="2:10">
      <c r="B362" s="139" t="s">
        <v>456</v>
      </c>
      <c r="C362" s="140" t="s">
        <v>547</v>
      </c>
      <c r="D362" s="175" t="s">
        <v>151</v>
      </c>
      <c r="E362" s="141" t="s">
        <v>1100</v>
      </c>
      <c r="F362" s="140">
        <v>80</v>
      </c>
      <c r="G362" s="140">
        <v>80</v>
      </c>
      <c r="H362" s="179">
        <v>7131070.5199999996</v>
      </c>
      <c r="I362" s="154"/>
      <c r="J362" s="155"/>
    </row>
    <row r="363" spans="2:10">
      <c r="B363" s="139" t="s">
        <v>457</v>
      </c>
      <c r="C363" s="140" t="s">
        <v>549</v>
      </c>
      <c r="D363" s="175" t="s">
        <v>154</v>
      </c>
      <c r="E363" s="141" t="s">
        <v>1101</v>
      </c>
      <c r="F363" s="140">
        <v>70</v>
      </c>
      <c r="G363" s="140">
        <v>70</v>
      </c>
      <c r="H363" s="179">
        <v>11402358.08</v>
      </c>
      <c r="I363" s="154"/>
      <c r="J363" s="155"/>
    </row>
    <row r="364" spans="2:10">
      <c r="B364" s="139" t="s">
        <v>458</v>
      </c>
      <c r="C364" s="140" t="s">
        <v>549</v>
      </c>
      <c r="D364" s="175" t="s">
        <v>124</v>
      </c>
      <c r="E364" s="141" t="s">
        <v>1102</v>
      </c>
      <c r="F364" s="140">
        <v>82</v>
      </c>
      <c r="G364" s="140">
        <v>100</v>
      </c>
      <c r="H364" s="179">
        <v>12365415.939999999</v>
      </c>
      <c r="I364" s="154"/>
      <c r="J364" s="155"/>
    </row>
    <row r="365" spans="2:10">
      <c r="B365" s="139" t="s">
        <v>459</v>
      </c>
      <c r="C365" s="140" t="s">
        <v>549</v>
      </c>
      <c r="D365" s="175" t="s">
        <v>116</v>
      </c>
      <c r="E365" s="141" t="s">
        <v>1103</v>
      </c>
      <c r="F365" s="140">
        <v>76</v>
      </c>
      <c r="G365" s="140">
        <v>90</v>
      </c>
      <c r="H365" s="179">
        <v>15867881.189999999</v>
      </c>
      <c r="I365" s="154"/>
      <c r="J365" s="155"/>
    </row>
    <row r="366" spans="2:10">
      <c r="B366" s="139" t="s">
        <v>460</v>
      </c>
      <c r="C366" s="140" t="s">
        <v>549</v>
      </c>
      <c r="D366" s="175" t="s">
        <v>100</v>
      </c>
      <c r="E366" s="141" t="s">
        <v>1104</v>
      </c>
      <c r="F366" s="140">
        <v>40</v>
      </c>
      <c r="G366" s="140">
        <v>45</v>
      </c>
      <c r="H366" s="179">
        <v>5159841.53</v>
      </c>
      <c r="I366" s="154"/>
      <c r="J366" s="155"/>
    </row>
    <row r="367" spans="2:10">
      <c r="B367" s="139" t="s">
        <v>461</v>
      </c>
      <c r="C367" s="140" t="s">
        <v>549</v>
      </c>
      <c r="D367" s="175" t="s">
        <v>111</v>
      </c>
      <c r="E367" s="141" t="s">
        <v>1105</v>
      </c>
      <c r="F367" s="140">
        <v>65</v>
      </c>
      <c r="G367" s="140">
        <v>65</v>
      </c>
      <c r="H367" s="179">
        <v>11502490.869999999</v>
      </c>
      <c r="I367" s="154"/>
      <c r="J367" s="155"/>
    </row>
    <row r="368" spans="2:10">
      <c r="B368" s="139" t="s">
        <v>644</v>
      </c>
      <c r="C368" s="140" t="s">
        <v>547</v>
      </c>
      <c r="D368" s="175" t="s">
        <v>111</v>
      </c>
      <c r="E368" s="141" t="s">
        <v>1106</v>
      </c>
      <c r="F368" s="140">
        <v>25</v>
      </c>
      <c r="G368" s="140">
        <v>25</v>
      </c>
      <c r="H368" s="179">
        <v>2024821.9</v>
      </c>
      <c r="I368" s="154"/>
      <c r="J368" s="155"/>
    </row>
    <row r="369" spans="2:10">
      <c r="B369" s="139" t="s">
        <v>462</v>
      </c>
      <c r="C369" s="140" t="s">
        <v>549</v>
      </c>
      <c r="D369" s="175" t="s">
        <v>111</v>
      </c>
      <c r="E369" s="141" t="s">
        <v>1107</v>
      </c>
      <c r="F369" s="140">
        <v>94</v>
      </c>
      <c r="G369" s="140">
        <v>105</v>
      </c>
      <c r="H369" s="179">
        <v>15562744.82</v>
      </c>
      <c r="I369" s="154"/>
      <c r="J369" s="155"/>
    </row>
    <row r="370" spans="2:10">
      <c r="B370" s="139" t="s">
        <v>464</v>
      </c>
      <c r="C370" s="140" t="s">
        <v>547</v>
      </c>
      <c r="D370" s="175" t="s">
        <v>96</v>
      </c>
      <c r="E370" s="141" t="s">
        <v>1108</v>
      </c>
      <c r="F370" s="140">
        <v>50</v>
      </c>
      <c r="G370" s="140">
        <v>50</v>
      </c>
      <c r="H370" s="179">
        <v>4683848.22</v>
      </c>
      <c r="I370" s="154"/>
      <c r="J370" s="155"/>
    </row>
    <row r="371" spans="2:10">
      <c r="B371" s="139" t="s">
        <v>465</v>
      </c>
      <c r="C371" s="140" t="s">
        <v>547</v>
      </c>
      <c r="D371" s="175" t="s">
        <v>135</v>
      </c>
      <c r="E371" s="141" t="s">
        <v>1109</v>
      </c>
      <c r="F371" s="140">
        <v>50</v>
      </c>
      <c r="G371" s="140">
        <v>50</v>
      </c>
      <c r="H371" s="179">
        <v>3763634.05</v>
      </c>
      <c r="I371" s="154"/>
      <c r="J371" s="155"/>
    </row>
    <row r="372" spans="2:10">
      <c r="B372" s="139" t="s">
        <v>466</v>
      </c>
      <c r="C372" s="140" t="s">
        <v>549</v>
      </c>
      <c r="D372" s="175" t="s">
        <v>115</v>
      </c>
      <c r="E372" s="141" t="s">
        <v>1110</v>
      </c>
      <c r="F372" s="140">
        <v>65</v>
      </c>
      <c r="G372" s="140">
        <v>65</v>
      </c>
      <c r="H372" s="179">
        <v>5168870.24</v>
      </c>
      <c r="I372" s="154"/>
      <c r="J372" s="155"/>
    </row>
    <row r="373" spans="2:10">
      <c r="B373" s="139" t="s">
        <v>467</v>
      </c>
      <c r="C373" s="140" t="s">
        <v>549</v>
      </c>
      <c r="D373" s="175" t="s">
        <v>132</v>
      </c>
      <c r="E373" s="141" t="s">
        <v>1111</v>
      </c>
      <c r="F373" s="140">
        <v>48</v>
      </c>
      <c r="G373" s="140">
        <v>48</v>
      </c>
      <c r="H373" s="179">
        <v>4386770.2300000004</v>
      </c>
      <c r="I373" s="154"/>
      <c r="J373" s="155"/>
    </row>
    <row r="374" spans="2:10">
      <c r="B374" s="139" t="s">
        <v>468</v>
      </c>
      <c r="C374" s="140" t="s">
        <v>547</v>
      </c>
      <c r="D374" s="175" t="s">
        <v>117</v>
      </c>
      <c r="E374" s="141" t="s">
        <v>1112</v>
      </c>
      <c r="F374" s="140">
        <v>77</v>
      </c>
      <c r="G374" s="140">
        <v>80</v>
      </c>
      <c r="H374" s="179">
        <v>8840021.7799999993</v>
      </c>
      <c r="I374" s="154"/>
      <c r="J374" s="155"/>
    </row>
    <row r="375" spans="2:10">
      <c r="B375" s="139" t="s">
        <v>469</v>
      </c>
      <c r="C375" s="140" t="s">
        <v>547</v>
      </c>
      <c r="D375" s="175" t="s">
        <v>118</v>
      </c>
      <c r="E375" s="141" t="s">
        <v>1113</v>
      </c>
      <c r="F375" s="140">
        <v>56</v>
      </c>
      <c r="G375" s="140">
        <v>61</v>
      </c>
      <c r="H375" s="179">
        <v>6992852.3200000003</v>
      </c>
      <c r="I375" s="154"/>
      <c r="J375" s="155"/>
    </row>
    <row r="376" spans="2:10">
      <c r="B376" s="139" t="s">
        <v>645</v>
      </c>
      <c r="C376" s="140" t="s">
        <v>547</v>
      </c>
      <c r="D376" s="175" t="s">
        <v>118</v>
      </c>
      <c r="E376" s="141" t="s">
        <v>1114</v>
      </c>
      <c r="F376" s="140">
        <v>80</v>
      </c>
      <c r="G376" s="140">
        <v>80</v>
      </c>
      <c r="H376" s="179">
        <v>9149099.9399999995</v>
      </c>
      <c r="I376" s="154"/>
      <c r="J376" s="155"/>
    </row>
    <row r="377" spans="2:10">
      <c r="B377" s="139" t="s">
        <v>470</v>
      </c>
      <c r="C377" s="140" t="s">
        <v>549</v>
      </c>
      <c r="D377" s="175" t="s">
        <v>118</v>
      </c>
      <c r="E377" s="141" t="s">
        <v>1115</v>
      </c>
      <c r="F377" s="140">
        <v>43</v>
      </c>
      <c r="G377" s="140">
        <v>43</v>
      </c>
      <c r="H377" s="179">
        <v>6979862.3300000001</v>
      </c>
      <c r="I377" s="154"/>
      <c r="J377" s="155"/>
    </row>
    <row r="378" spans="2:10">
      <c r="B378" s="139" t="s">
        <v>471</v>
      </c>
      <c r="C378" s="140" t="s">
        <v>549</v>
      </c>
      <c r="D378" s="175" t="s">
        <v>129</v>
      </c>
      <c r="E378" s="141" t="s">
        <v>1116</v>
      </c>
      <c r="F378" s="140">
        <v>87</v>
      </c>
      <c r="G378" s="140">
        <v>100</v>
      </c>
      <c r="H378" s="179">
        <v>18147574.890000001</v>
      </c>
      <c r="I378" s="154"/>
      <c r="J378" s="155"/>
    </row>
    <row r="379" spans="2:10">
      <c r="B379" s="139" t="s">
        <v>472</v>
      </c>
      <c r="C379" s="140" t="s">
        <v>549</v>
      </c>
      <c r="D379" s="175" t="s">
        <v>97</v>
      </c>
      <c r="E379" s="141" t="s">
        <v>1117</v>
      </c>
      <c r="F379" s="140">
        <v>65</v>
      </c>
      <c r="G379" s="140">
        <v>65</v>
      </c>
      <c r="H379" s="179">
        <v>8738123.4600000009</v>
      </c>
      <c r="I379" s="154"/>
      <c r="J379" s="155"/>
    </row>
    <row r="380" spans="2:10">
      <c r="B380" s="139" t="s">
        <v>473</v>
      </c>
      <c r="C380" s="140" t="s">
        <v>549</v>
      </c>
      <c r="D380" s="175" t="s">
        <v>137</v>
      </c>
      <c r="E380" s="141" t="s">
        <v>1118</v>
      </c>
      <c r="F380" s="140">
        <v>96</v>
      </c>
      <c r="G380" s="140">
        <v>100</v>
      </c>
      <c r="H380" s="179">
        <v>23700617.850000001</v>
      </c>
      <c r="I380" s="154"/>
      <c r="J380" s="155"/>
    </row>
    <row r="381" spans="2:10">
      <c r="B381" s="139" t="s">
        <v>474</v>
      </c>
      <c r="C381" s="140" t="s">
        <v>549</v>
      </c>
      <c r="D381" s="175" t="s">
        <v>140</v>
      </c>
      <c r="E381" s="141" t="s">
        <v>1119</v>
      </c>
      <c r="F381" s="140">
        <v>39</v>
      </c>
      <c r="G381" s="140">
        <v>39</v>
      </c>
      <c r="H381" s="179">
        <v>5387983.0599999996</v>
      </c>
      <c r="I381" s="154"/>
      <c r="J381" s="155"/>
    </row>
    <row r="382" spans="2:10">
      <c r="B382" s="139" t="s">
        <v>476</v>
      </c>
      <c r="C382" s="140" t="s">
        <v>549</v>
      </c>
      <c r="D382" s="175" t="s">
        <v>117</v>
      </c>
      <c r="E382" s="141" t="s">
        <v>1120</v>
      </c>
      <c r="F382" s="140">
        <v>67</v>
      </c>
      <c r="G382" s="140">
        <v>67</v>
      </c>
      <c r="H382" s="179">
        <v>9971100.2799999993</v>
      </c>
      <c r="I382" s="154"/>
      <c r="J382" s="155"/>
    </row>
    <row r="383" spans="2:10">
      <c r="B383" s="139" t="s">
        <v>477</v>
      </c>
      <c r="C383" s="140" t="s">
        <v>547</v>
      </c>
      <c r="D383" s="175" t="s">
        <v>151</v>
      </c>
      <c r="E383" s="141" t="s">
        <v>1121</v>
      </c>
      <c r="F383" s="140">
        <v>74</v>
      </c>
      <c r="G383" s="140">
        <v>74</v>
      </c>
      <c r="H383" s="179">
        <v>8104567.8499999996</v>
      </c>
      <c r="I383" s="154"/>
      <c r="J383" s="155"/>
    </row>
    <row r="384" spans="2:10">
      <c r="B384" s="139" t="s">
        <v>1122</v>
      </c>
      <c r="C384" s="140" t="s">
        <v>547</v>
      </c>
      <c r="D384" s="175" t="s">
        <v>96</v>
      </c>
      <c r="E384" s="141" t="s">
        <v>1123</v>
      </c>
      <c r="F384" s="140">
        <v>35</v>
      </c>
      <c r="G384" s="140">
        <v>35</v>
      </c>
      <c r="H384" s="179">
        <v>2368406.37</v>
      </c>
      <c r="I384" s="154"/>
      <c r="J384" s="155"/>
    </row>
    <row r="385" spans="2:10">
      <c r="B385" s="139" t="s">
        <v>646</v>
      </c>
      <c r="C385" s="140" t="s">
        <v>547</v>
      </c>
      <c r="D385" s="175" t="s">
        <v>116</v>
      </c>
      <c r="E385" s="141" t="s">
        <v>1124</v>
      </c>
      <c r="F385" s="140">
        <v>55</v>
      </c>
      <c r="G385" s="140">
        <v>55</v>
      </c>
      <c r="H385" s="179">
        <v>6387499.0300000003</v>
      </c>
      <c r="I385" s="154"/>
      <c r="J385" s="155"/>
    </row>
    <row r="386" spans="2:10">
      <c r="B386" s="139" t="s">
        <v>478</v>
      </c>
      <c r="C386" s="140" t="s">
        <v>549</v>
      </c>
      <c r="D386" s="175" t="s">
        <v>103</v>
      </c>
      <c r="E386" s="141" t="s">
        <v>1125</v>
      </c>
      <c r="F386" s="140">
        <v>50</v>
      </c>
      <c r="G386" s="140">
        <v>50</v>
      </c>
      <c r="H386" s="179">
        <v>12019757.630000001</v>
      </c>
      <c r="I386" s="154"/>
      <c r="J386" s="155"/>
    </row>
    <row r="387" spans="2:10">
      <c r="B387" s="139" t="s">
        <v>479</v>
      </c>
      <c r="C387" s="140" t="s">
        <v>547</v>
      </c>
      <c r="D387" s="175" t="s">
        <v>103</v>
      </c>
      <c r="E387" s="141" t="s">
        <v>1126</v>
      </c>
      <c r="F387" s="140">
        <v>35</v>
      </c>
      <c r="G387" s="140">
        <v>35</v>
      </c>
      <c r="H387" s="179">
        <v>5632068.1699999999</v>
      </c>
      <c r="I387" s="154"/>
      <c r="J387" s="155"/>
    </row>
    <row r="388" spans="2:10">
      <c r="B388" s="139" t="s">
        <v>480</v>
      </c>
      <c r="C388" s="140" t="s">
        <v>547</v>
      </c>
      <c r="D388" s="175" t="s">
        <v>143</v>
      </c>
      <c r="E388" s="141" t="s">
        <v>1127</v>
      </c>
      <c r="F388" s="140">
        <v>35</v>
      </c>
      <c r="G388" s="140">
        <v>35</v>
      </c>
      <c r="H388" s="179">
        <v>1626067.42</v>
      </c>
      <c r="I388" s="154"/>
      <c r="J388" s="155"/>
    </row>
    <row r="389" spans="2:10">
      <c r="B389" s="139" t="s">
        <v>481</v>
      </c>
      <c r="C389" s="140" t="s">
        <v>547</v>
      </c>
      <c r="D389" s="175" t="s">
        <v>117</v>
      </c>
      <c r="E389" s="141" t="s">
        <v>1128</v>
      </c>
      <c r="F389" s="140">
        <v>35</v>
      </c>
      <c r="G389" s="140">
        <v>35</v>
      </c>
      <c r="H389" s="179">
        <v>2945150.39</v>
      </c>
      <c r="I389" s="154"/>
      <c r="J389" s="155"/>
    </row>
    <row r="390" spans="2:10">
      <c r="B390" s="139" t="s">
        <v>482</v>
      </c>
      <c r="C390" s="140" t="s">
        <v>547</v>
      </c>
      <c r="D390" s="175" t="s">
        <v>144</v>
      </c>
      <c r="E390" s="141" t="s">
        <v>1129</v>
      </c>
      <c r="F390" s="140">
        <v>53</v>
      </c>
      <c r="G390" s="140">
        <v>60</v>
      </c>
      <c r="H390" s="179">
        <v>3148285.88</v>
      </c>
      <c r="I390" s="154"/>
      <c r="J390" s="155"/>
    </row>
    <row r="391" spans="2:10">
      <c r="B391" s="139" t="s">
        <v>483</v>
      </c>
      <c r="C391" s="140" t="s">
        <v>547</v>
      </c>
      <c r="D391" s="175" t="s">
        <v>124</v>
      </c>
      <c r="E391" s="141" t="s">
        <v>1130</v>
      </c>
      <c r="F391" s="140">
        <v>83</v>
      </c>
      <c r="G391" s="140">
        <v>83</v>
      </c>
      <c r="H391" s="179">
        <v>1728907.29</v>
      </c>
      <c r="I391" s="154"/>
      <c r="J391" s="155"/>
    </row>
    <row r="392" spans="2:10">
      <c r="B392" s="139" t="s">
        <v>484</v>
      </c>
      <c r="C392" s="140" t="s">
        <v>549</v>
      </c>
      <c r="D392" s="175" t="s">
        <v>125</v>
      </c>
      <c r="E392" s="141" t="s">
        <v>1131</v>
      </c>
      <c r="F392" s="140">
        <v>85</v>
      </c>
      <c r="G392" s="140">
        <v>103</v>
      </c>
      <c r="H392" s="179">
        <v>13677213.01</v>
      </c>
      <c r="I392" s="154"/>
      <c r="J392" s="155"/>
    </row>
    <row r="393" spans="2:10">
      <c r="B393" s="139" t="s">
        <v>485</v>
      </c>
      <c r="C393" s="140" t="s">
        <v>549</v>
      </c>
      <c r="D393" s="175" t="s">
        <v>151</v>
      </c>
      <c r="E393" s="141" t="s">
        <v>1132</v>
      </c>
      <c r="F393" s="140">
        <v>23</v>
      </c>
      <c r="G393" s="140">
        <v>29</v>
      </c>
      <c r="H393" s="179">
        <v>2223415.17</v>
      </c>
      <c r="I393" s="154"/>
      <c r="J393" s="155"/>
    </row>
    <row r="394" spans="2:10">
      <c r="B394" s="139" t="s">
        <v>560</v>
      </c>
      <c r="C394" s="140" t="s">
        <v>549</v>
      </c>
      <c r="D394" s="175" t="s">
        <v>95</v>
      </c>
      <c r="E394" s="141" t="s">
        <v>1133</v>
      </c>
      <c r="F394" s="140">
        <v>18</v>
      </c>
      <c r="G394" s="140">
        <v>18</v>
      </c>
      <c r="H394" s="179">
        <v>1732746.36</v>
      </c>
      <c r="I394" s="154"/>
      <c r="J394" s="155"/>
    </row>
    <row r="395" spans="2:10">
      <c r="B395" s="139" t="s">
        <v>486</v>
      </c>
      <c r="C395" s="140" t="s">
        <v>547</v>
      </c>
      <c r="D395" s="175" t="s">
        <v>143</v>
      </c>
      <c r="E395" s="141" t="s">
        <v>1134</v>
      </c>
      <c r="F395" s="140">
        <v>45</v>
      </c>
      <c r="G395" s="140">
        <v>45</v>
      </c>
      <c r="H395" s="179">
        <v>2964822.68</v>
      </c>
      <c r="I395" s="154"/>
      <c r="J395" s="155"/>
    </row>
    <row r="396" spans="2:10">
      <c r="B396" s="139" t="s">
        <v>487</v>
      </c>
      <c r="C396" s="140" t="s">
        <v>547</v>
      </c>
      <c r="D396" s="175" t="s">
        <v>140</v>
      </c>
      <c r="E396" s="141" t="s">
        <v>1135</v>
      </c>
      <c r="F396" s="140">
        <v>85</v>
      </c>
      <c r="G396" s="140">
        <v>85</v>
      </c>
      <c r="H396" s="179">
        <v>11039728.83</v>
      </c>
      <c r="I396" s="154"/>
      <c r="J396" s="155"/>
    </row>
    <row r="397" spans="2:10">
      <c r="B397" s="139" t="s">
        <v>488</v>
      </c>
      <c r="C397" s="140" t="s">
        <v>547</v>
      </c>
      <c r="D397" s="175" t="s">
        <v>138</v>
      </c>
      <c r="E397" s="141" t="s">
        <v>1136</v>
      </c>
      <c r="F397" s="140">
        <v>40</v>
      </c>
      <c r="G397" s="140">
        <v>40</v>
      </c>
      <c r="H397" s="179">
        <v>3898817.81</v>
      </c>
      <c r="I397" s="154"/>
      <c r="J397" s="155"/>
    </row>
    <row r="398" spans="2:10">
      <c r="B398" s="139" t="s">
        <v>489</v>
      </c>
      <c r="C398" s="140" t="s">
        <v>549</v>
      </c>
      <c r="D398" s="175" t="s">
        <v>133</v>
      </c>
      <c r="E398" s="141" t="s">
        <v>1137</v>
      </c>
      <c r="F398" s="140">
        <v>70</v>
      </c>
      <c r="G398" s="140">
        <v>70</v>
      </c>
      <c r="H398" s="179">
        <v>14074817.640000001</v>
      </c>
      <c r="I398" s="154"/>
      <c r="J398" s="155"/>
    </row>
    <row r="399" spans="2:10">
      <c r="B399" s="139" t="s">
        <v>490</v>
      </c>
      <c r="C399" s="140" t="s">
        <v>549</v>
      </c>
      <c r="D399" s="175" t="s">
        <v>109</v>
      </c>
      <c r="E399" s="141" t="s">
        <v>1138</v>
      </c>
      <c r="F399" s="140">
        <v>88</v>
      </c>
      <c r="G399" s="140">
        <v>100</v>
      </c>
      <c r="H399" s="179">
        <v>16840940.309999999</v>
      </c>
      <c r="I399" s="154"/>
      <c r="J399" s="155"/>
    </row>
    <row r="400" spans="2:10">
      <c r="B400" s="139" t="s">
        <v>491</v>
      </c>
      <c r="C400" s="140" t="s">
        <v>547</v>
      </c>
      <c r="D400" s="175" t="s">
        <v>122</v>
      </c>
      <c r="E400" s="141" t="s">
        <v>1139</v>
      </c>
      <c r="F400" s="140">
        <v>78</v>
      </c>
      <c r="G400" s="140">
        <v>78</v>
      </c>
      <c r="H400" s="179">
        <v>4700809.97</v>
      </c>
      <c r="I400" s="154"/>
      <c r="J400" s="155"/>
    </row>
    <row r="401" spans="2:10">
      <c r="B401" s="139" t="s">
        <v>647</v>
      </c>
      <c r="C401" s="140" t="s">
        <v>547</v>
      </c>
      <c r="D401" s="175" t="s">
        <v>122</v>
      </c>
      <c r="E401" s="141" t="s">
        <v>1140</v>
      </c>
      <c r="F401" s="140">
        <v>38</v>
      </c>
      <c r="G401" s="140">
        <v>38</v>
      </c>
      <c r="H401" s="179">
        <v>927772.26</v>
      </c>
      <c r="I401" s="154"/>
      <c r="J401" s="155"/>
    </row>
    <row r="402" spans="2:10">
      <c r="B402" s="139" t="s">
        <v>492</v>
      </c>
      <c r="C402" s="140" t="s">
        <v>547</v>
      </c>
      <c r="D402" s="175" t="s">
        <v>122</v>
      </c>
      <c r="E402" s="141" t="s">
        <v>1141</v>
      </c>
      <c r="F402" s="140">
        <v>40</v>
      </c>
      <c r="G402" s="140">
        <v>40</v>
      </c>
      <c r="H402" s="179">
        <v>2513854.9900000002</v>
      </c>
      <c r="I402" s="154"/>
      <c r="J402" s="155"/>
    </row>
    <row r="403" spans="2:10">
      <c r="B403" s="139" t="s">
        <v>493</v>
      </c>
      <c r="C403" s="140" t="s">
        <v>547</v>
      </c>
      <c r="D403" s="175" t="s">
        <v>103</v>
      </c>
      <c r="E403" s="141" t="s">
        <v>1142</v>
      </c>
      <c r="F403" s="140">
        <v>18</v>
      </c>
      <c r="G403" s="140">
        <v>23</v>
      </c>
      <c r="H403" s="179">
        <v>761711.34</v>
      </c>
      <c r="I403" s="154"/>
      <c r="J403" s="155"/>
    </row>
    <row r="404" spans="2:10">
      <c r="B404" s="139" t="s">
        <v>648</v>
      </c>
      <c r="C404" s="140" t="s">
        <v>547</v>
      </c>
      <c r="D404" s="175" t="s">
        <v>103</v>
      </c>
      <c r="E404" s="141" t="s">
        <v>1143</v>
      </c>
      <c r="F404" s="140">
        <v>60</v>
      </c>
      <c r="G404" s="140">
        <v>60</v>
      </c>
      <c r="H404" s="179">
        <v>3905633.23</v>
      </c>
      <c r="I404" s="154"/>
      <c r="J404" s="155"/>
    </row>
    <row r="405" spans="2:10">
      <c r="B405" s="139" t="s">
        <v>494</v>
      </c>
      <c r="C405" s="140" t="s">
        <v>547</v>
      </c>
      <c r="D405" s="175" t="s">
        <v>149</v>
      </c>
      <c r="E405" s="141" t="s">
        <v>1144</v>
      </c>
      <c r="F405" s="140">
        <v>42</v>
      </c>
      <c r="G405" s="140">
        <v>42</v>
      </c>
      <c r="H405" s="179">
        <v>1860068.2</v>
      </c>
      <c r="I405" s="154"/>
      <c r="J405" s="155"/>
    </row>
    <row r="406" spans="2:10">
      <c r="B406" s="139" t="s">
        <v>649</v>
      </c>
      <c r="C406" s="140" t="s">
        <v>547</v>
      </c>
      <c r="D406" s="175" t="s">
        <v>149</v>
      </c>
      <c r="E406" s="141" t="s">
        <v>1145</v>
      </c>
      <c r="F406" s="140">
        <v>35</v>
      </c>
      <c r="G406" s="140">
        <v>35</v>
      </c>
      <c r="H406" s="179">
        <v>1315120.23</v>
      </c>
      <c r="I406" s="154"/>
      <c r="J406" s="155"/>
    </row>
    <row r="407" spans="2:10">
      <c r="B407" s="139" t="s">
        <v>495</v>
      </c>
      <c r="C407" s="140" t="s">
        <v>549</v>
      </c>
      <c r="D407" s="175" t="s">
        <v>122</v>
      </c>
      <c r="E407" s="141" t="s">
        <v>1146</v>
      </c>
      <c r="F407" s="140">
        <v>75</v>
      </c>
      <c r="G407" s="140">
        <v>87</v>
      </c>
      <c r="H407" s="179">
        <v>12335720.619999999</v>
      </c>
      <c r="I407" s="154"/>
      <c r="J407" s="155"/>
    </row>
    <row r="408" spans="2:10">
      <c r="B408" s="139" t="s">
        <v>497</v>
      </c>
      <c r="C408" s="140" t="s">
        <v>549</v>
      </c>
      <c r="D408" s="175" t="s">
        <v>32</v>
      </c>
      <c r="E408" s="141" t="s">
        <v>1147</v>
      </c>
      <c r="F408" s="140">
        <v>49</v>
      </c>
      <c r="G408" s="140">
        <v>49</v>
      </c>
      <c r="H408" s="179">
        <v>5167516.13</v>
      </c>
      <c r="I408" s="154"/>
      <c r="J408" s="155"/>
    </row>
    <row r="409" spans="2:10">
      <c r="B409" s="139" t="s">
        <v>498</v>
      </c>
      <c r="C409" s="140" t="s">
        <v>549</v>
      </c>
      <c r="D409" s="175" t="s">
        <v>103</v>
      </c>
      <c r="E409" s="141" t="s">
        <v>1148</v>
      </c>
      <c r="F409" s="140">
        <v>105</v>
      </c>
      <c r="G409" s="140">
        <v>105</v>
      </c>
      <c r="H409" s="179">
        <v>16349937.99</v>
      </c>
      <c r="I409" s="154"/>
      <c r="J409" s="155"/>
    </row>
    <row r="410" spans="2:10">
      <c r="B410" s="139" t="s">
        <v>499</v>
      </c>
      <c r="C410" s="140" t="s">
        <v>549</v>
      </c>
      <c r="D410" s="175" t="s">
        <v>129</v>
      </c>
      <c r="E410" s="141" t="s">
        <v>1149</v>
      </c>
      <c r="F410" s="140">
        <v>60</v>
      </c>
      <c r="G410" s="140">
        <v>60</v>
      </c>
      <c r="H410" s="179">
        <v>8812666.2300000004</v>
      </c>
      <c r="I410" s="154"/>
      <c r="J410" s="155"/>
    </row>
    <row r="411" spans="2:10">
      <c r="B411" s="139" t="s">
        <v>561</v>
      </c>
      <c r="C411" s="140" t="s">
        <v>549</v>
      </c>
      <c r="D411" s="175" t="s">
        <v>156</v>
      </c>
      <c r="E411" s="141" t="s">
        <v>1150</v>
      </c>
      <c r="F411" s="140">
        <v>30</v>
      </c>
      <c r="G411" s="140">
        <v>30</v>
      </c>
      <c r="H411" s="179">
        <v>669779.12</v>
      </c>
      <c r="I411" s="154"/>
      <c r="J411" s="155"/>
    </row>
    <row r="412" spans="2:10">
      <c r="B412" s="139" t="s">
        <v>661</v>
      </c>
      <c r="C412" s="140" t="s">
        <v>549</v>
      </c>
      <c r="D412" s="175" t="s">
        <v>144</v>
      </c>
      <c r="E412" s="141" t="s">
        <v>1151</v>
      </c>
      <c r="F412" s="140">
        <v>29</v>
      </c>
      <c r="G412" s="140">
        <v>29</v>
      </c>
      <c r="H412" s="179">
        <v>2871780.18</v>
      </c>
      <c r="I412" s="154"/>
      <c r="J412" s="155"/>
    </row>
    <row r="413" spans="2:10">
      <c r="B413" s="139" t="s">
        <v>662</v>
      </c>
      <c r="C413" s="140" t="s">
        <v>547</v>
      </c>
      <c r="D413" s="175" t="s">
        <v>115</v>
      </c>
      <c r="E413" s="141" t="s">
        <v>1152</v>
      </c>
      <c r="F413" s="140">
        <v>60</v>
      </c>
      <c r="G413" s="140">
        <v>60</v>
      </c>
      <c r="H413" s="179">
        <v>2779080.13</v>
      </c>
      <c r="I413" s="154"/>
      <c r="J413" s="155"/>
    </row>
    <row r="414" spans="2:10">
      <c r="B414" s="139" t="s">
        <v>663</v>
      </c>
      <c r="C414" s="140" t="s">
        <v>547</v>
      </c>
      <c r="D414" s="175" t="s">
        <v>115</v>
      </c>
      <c r="E414" s="141" t="s">
        <v>1153</v>
      </c>
      <c r="F414" s="140">
        <v>40</v>
      </c>
      <c r="G414" s="140">
        <v>40</v>
      </c>
      <c r="H414" s="179">
        <v>2956775.46</v>
      </c>
      <c r="I414" s="154"/>
      <c r="J414" s="155"/>
    </row>
    <row r="415" spans="2:10">
      <c r="B415" s="139" t="s">
        <v>1154</v>
      </c>
      <c r="C415" s="140" t="s">
        <v>549</v>
      </c>
      <c r="D415" s="175" t="s">
        <v>132</v>
      </c>
      <c r="E415" s="141" t="s">
        <v>1155</v>
      </c>
      <c r="F415" s="140">
        <v>50</v>
      </c>
      <c r="G415" s="140">
        <v>50</v>
      </c>
      <c r="H415" s="179">
        <v>575270.02</v>
      </c>
      <c r="I415" s="154"/>
      <c r="J415" s="155"/>
    </row>
    <row r="416" spans="2:10">
      <c r="B416" s="139" t="s">
        <v>664</v>
      </c>
      <c r="C416" s="140" t="s">
        <v>549</v>
      </c>
      <c r="D416" s="175" t="s">
        <v>124</v>
      </c>
      <c r="E416" s="141" t="s">
        <v>1156</v>
      </c>
      <c r="F416" s="140">
        <v>50</v>
      </c>
      <c r="G416" s="140">
        <v>50</v>
      </c>
      <c r="H416" s="179">
        <v>3271056.74</v>
      </c>
      <c r="I416" s="154"/>
      <c r="J416" s="155"/>
    </row>
    <row r="417" spans="2:10">
      <c r="B417" s="139" t="s">
        <v>665</v>
      </c>
      <c r="C417" s="140" t="s">
        <v>547</v>
      </c>
      <c r="D417" s="175" t="s">
        <v>154</v>
      </c>
      <c r="E417" s="141" t="s">
        <v>1157</v>
      </c>
      <c r="F417" s="140">
        <v>80</v>
      </c>
      <c r="G417" s="140">
        <v>80</v>
      </c>
      <c r="H417" s="179">
        <v>10352067.630000001</v>
      </c>
      <c r="I417" s="154"/>
      <c r="J417" s="155"/>
    </row>
    <row r="418" spans="2:10">
      <c r="B418" s="139" t="s">
        <v>666</v>
      </c>
      <c r="C418" s="140" t="s">
        <v>547</v>
      </c>
      <c r="D418" s="175" t="s">
        <v>139</v>
      </c>
      <c r="E418" s="141" t="s">
        <v>1158</v>
      </c>
      <c r="F418" s="140">
        <v>43</v>
      </c>
      <c r="G418" s="140">
        <v>43</v>
      </c>
      <c r="H418" s="179">
        <v>1167426.04</v>
      </c>
      <c r="I418" s="154"/>
      <c r="J418" s="155"/>
    </row>
    <row r="419" spans="2:10">
      <c r="B419" s="139" t="s">
        <v>667</v>
      </c>
      <c r="C419" s="140" t="s">
        <v>549</v>
      </c>
      <c r="D419" s="175" t="s">
        <v>112</v>
      </c>
      <c r="E419" s="141" t="s">
        <v>1159</v>
      </c>
      <c r="F419" s="140">
        <v>50</v>
      </c>
      <c r="G419" s="140">
        <v>50</v>
      </c>
      <c r="H419" s="179">
        <v>4907358.08</v>
      </c>
      <c r="I419" s="154"/>
      <c r="J419" s="155"/>
    </row>
    <row r="420" spans="2:10">
      <c r="B420" s="139" t="s">
        <v>668</v>
      </c>
      <c r="C420" s="140" t="s">
        <v>549</v>
      </c>
      <c r="D420" s="175" t="s">
        <v>31</v>
      </c>
      <c r="E420" s="141" t="s">
        <v>1160</v>
      </c>
      <c r="F420" s="140">
        <v>90</v>
      </c>
      <c r="G420" s="140">
        <v>90</v>
      </c>
      <c r="H420" s="179">
        <v>20225010.190000001</v>
      </c>
      <c r="I420" s="154"/>
      <c r="J420" s="155"/>
    </row>
    <row r="421" spans="2:10">
      <c r="B421" s="139" t="s">
        <v>669</v>
      </c>
      <c r="C421" s="140" t="s">
        <v>549</v>
      </c>
      <c r="D421" s="175" t="s">
        <v>136</v>
      </c>
      <c r="E421" s="141" t="s">
        <v>1161</v>
      </c>
      <c r="F421" s="140">
        <v>35</v>
      </c>
      <c r="G421" s="140">
        <v>35</v>
      </c>
      <c r="H421" s="179">
        <v>6727306.4500000002</v>
      </c>
      <c r="I421" s="154"/>
      <c r="J421" s="155"/>
    </row>
    <row r="422" spans="2:10">
      <c r="B422" s="139" t="s">
        <v>501</v>
      </c>
      <c r="C422" s="140" t="s">
        <v>547</v>
      </c>
      <c r="D422" s="175" t="s">
        <v>133</v>
      </c>
      <c r="E422" s="141" t="s">
        <v>1162</v>
      </c>
      <c r="F422" s="140">
        <v>66</v>
      </c>
      <c r="G422" s="140">
        <v>66</v>
      </c>
      <c r="H422" s="179">
        <v>12344247.17</v>
      </c>
      <c r="I422" s="154"/>
      <c r="J422" s="155"/>
    </row>
    <row r="423" spans="2:10">
      <c r="B423" s="139" t="s">
        <v>670</v>
      </c>
      <c r="C423" s="140" t="s">
        <v>547</v>
      </c>
      <c r="D423" s="175" t="s">
        <v>131</v>
      </c>
      <c r="E423" s="141" t="s">
        <v>1163</v>
      </c>
      <c r="F423" s="140">
        <v>90</v>
      </c>
      <c r="G423" s="140">
        <v>90</v>
      </c>
      <c r="H423" s="179">
        <v>6086340.4800000004</v>
      </c>
      <c r="I423" s="154"/>
      <c r="J423" s="155"/>
    </row>
    <row r="424" spans="2:10">
      <c r="B424" s="139" t="s">
        <v>671</v>
      </c>
      <c r="C424" s="140" t="s">
        <v>549</v>
      </c>
      <c r="D424" s="175" t="s">
        <v>124</v>
      </c>
      <c r="E424" s="141" t="s">
        <v>1164</v>
      </c>
      <c r="F424" s="140">
        <v>53</v>
      </c>
      <c r="G424" s="140">
        <v>53</v>
      </c>
      <c r="H424" s="179">
        <v>4004598.35</v>
      </c>
      <c r="I424" s="154"/>
      <c r="J424" s="155"/>
    </row>
    <row r="425" spans="2:10">
      <c r="B425" s="139" t="s">
        <v>1165</v>
      </c>
      <c r="C425" s="140" t="s">
        <v>549</v>
      </c>
      <c r="D425" s="175" t="s">
        <v>124</v>
      </c>
      <c r="E425" s="141" t="s">
        <v>1164</v>
      </c>
      <c r="F425" s="140">
        <v>0</v>
      </c>
      <c r="G425" s="140">
        <v>0</v>
      </c>
      <c r="H425" s="179">
        <v>4394241.96</v>
      </c>
      <c r="I425" s="154"/>
      <c r="J425" s="155"/>
    </row>
    <row r="426" spans="2:10">
      <c r="B426" s="139" t="s">
        <v>672</v>
      </c>
      <c r="C426" s="140" t="s">
        <v>547</v>
      </c>
      <c r="D426" s="175" t="s">
        <v>112</v>
      </c>
      <c r="E426" s="141" t="s">
        <v>1166</v>
      </c>
      <c r="F426" s="140">
        <v>32</v>
      </c>
      <c r="G426" s="140">
        <v>32</v>
      </c>
      <c r="H426" s="179">
        <v>926121.28</v>
      </c>
      <c r="I426" s="154"/>
      <c r="J426" s="155"/>
    </row>
    <row r="427" spans="2:10">
      <c r="B427" s="139" t="s">
        <v>673</v>
      </c>
      <c r="C427" s="140" t="s">
        <v>549</v>
      </c>
      <c r="D427" s="175" t="s">
        <v>115</v>
      </c>
      <c r="E427" s="141" t="s">
        <v>1167</v>
      </c>
      <c r="F427" s="140">
        <v>25</v>
      </c>
      <c r="G427" s="140">
        <v>25</v>
      </c>
      <c r="H427" s="179">
        <v>642389.02</v>
      </c>
      <c r="I427" s="154"/>
      <c r="J427" s="155"/>
    </row>
    <row r="428" spans="2:10">
      <c r="B428" s="139" t="s">
        <v>1168</v>
      </c>
      <c r="C428" s="140" t="s">
        <v>549</v>
      </c>
      <c r="D428" s="175" t="s">
        <v>115</v>
      </c>
      <c r="E428" s="141" t="s">
        <v>1167</v>
      </c>
      <c r="F428" s="140">
        <v>0</v>
      </c>
      <c r="G428" s="140">
        <v>0</v>
      </c>
      <c r="H428" s="179">
        <v>790657.66</v>
      </c>
      <c r="I428" s="154"/>
      <c r="J428" s="155"/>
    </row>
    <row r="429" spans="2:10">
      <c r="B429" s="139" t="s">
        <v>674</v>
      </c>
      <c r="C429" s="140" t="s">
        <v>547</v>
      </c>
      <c r="D429" s="175" t="s">
        <v>156</v>
      </c>
      <c r="E429" s="141" t="s">
        <v>1169</v>
      </c>
      <c r="F429" s="140">
        <v>80</v>
      </c>
      <c r="G429" s="140">
        <v>80</v>
      </c>
      <c r="H429" s="179">
        <v>6842143.9800000004</v>
      </c>
      <c r="I429" s="154"/>
      <c r="J429" s="155"/>
    </row>
    <row r="430" spans="2:10">
      <c r="B430" s="139" t="s">
        <v>676</v>
      </c>
      <c r="C430" s="140" t="s">
        <v>547</v>
      </c>
      <c r="D430" s="175" t="s">
        <v>110</v>
      </c>
      <c r="E430" s="141" t="s">
        <v>1170</v>
      </c>
      <c r="F430" s="140">
        <v>41</v>
      </c>
      <c r="G430" s="140">
        <v>41</v>
      </c>
      <c r="H430" s="179">
        <v>4127293.36</v>
      </c>
      <c r="I430" s="154"/>
      <c r="J430" s="155"/>
    </row>
    <row r="431" spans="2:10">
      <c r="B431" s="139" t="s">
        <v>678</v>
      </c>
      <c r="C431" s="140" t="s">
        <v>547</v>
      </c>
      <c r="D431" s="175" t="s">
        <v>137</v>
      </c>
      <c r="E431" s="141" t="s">
        <v>1171</v>
      </c>
      <c r="F431" s="140">
        <v>50</v>
      </c>
      <c r="G431" s="140">
        <v>50</v>
      </c>
      <c r="H431" s="179">
        <v>2588804.2999999998</v>
      </c>
      <c r="I431" s="154"/>
      <c r="J431" s="155"/>
    </row>
    <row r="432" spans="2:10">
      <c r="B432" s="139" t="s">
        <v>679</v>
      </c>
      <c r="C432" s="140" t="s">
        <v>549</v>
      </c>
      <c r="D432" s="175" t="s">
        <v>1050</v>
      </c>
      <c r="E432" s="141" t="s">
        <v>1172</v>
      </c>
      <c r="F432" s="140">
        <v>35</v>
      </c>
      <c r="G432" s="140">
        <v>35</v>
      </c>
      <c r="H432" s="179">
        <v>2424852.15</v>
      </c>
      <c r="I432" s="154"/>
      <c r="J432" s="155"/>
    </row>
    <row r="433" spans="2:10">
      <c r="B433" s="139" t="s">
        <v>680</v>
      </c>
      <c r="C433" s="140" t="s">
        <v>547</v>
      </c>
      <c r="D433" s="175" t="s">
        <v>110</v>
      </c>
      <c r="E433" s="141" t="s">
        <v>1173</v>
      </c>
      <c r="F433" s="140">
        <v>24</v>
      </c>
      <c r="G433" s="140">
        <v>24</v>
      </c>
      <c r="H433" s="179">
        <v>804003.79</v>
      </c>
      <c r="I433" s="154"/>
      <c r="J433" s="155"/>
    </row>
    <row r="434" spans="2:10">
      <c r="B434" s="139" t="s">
        <v>681</v>
      </c>
      <c r="C434" s="140" t="s">
        <v>549</v>
      </c>
      <c r="D434" s="175" t="s">
        <v>154</v>
      </c>
      <c r="E434" s="141" t="s">
        <v>1174</v>
      </c>
      <c r="F434" s="140">
        <v>50</v>
      </c>
      <c r="G434" s="140">
        <v>50</v>
      </c>
      <c r="H434" s="179">
        <v>8361759.0499999998</v>
      </c>
      <c r="I434" s="154"/>
      <c r="J434" s="155"/>
    </row>
    <row r="435" spans="2:10">
      <c r="B435" s="139" t="s">
        <v>682</v>
      </c>
      <c r="C435" s="140" t="s">
        <v>549</v>
      </c>
      <c r="D435" s="175" t="s">
        <v>106</v>
      </c>
      <c r="E435" s="141" t="s">
        <v>1175</v>
      </c>
      <c r="F435" s="140">
        <v>60</v>
      </c>
      <c r="G435" s="140">
        <v>60</v>
      </c>
      <c r="H435" s="179">
        <v>4160456.55</v>
      </c>
      <c r="I435" s="154"/>
      <c r="J435" s="155"/>
    </row>
    <row r="436" spans="2:10">
      <c r="B436" s="139" t="s">
        <v>683</v>
      </c>
      <c r="C436" s="140" t="s">
        <v>549</v>
      </c>
      <c r="D436" s="175" t="s">
        <v>32</v>
      </c>
      <c r="E436" s="141" t="s">
        <v>1176</v>
      </c>
      <c r="F436" s="140">
        <v>40</v>
      </c>
      <c r="G436" s="140">
        <v>40</v>
      </c>
      <c r="H436" s="179">
        <v>4871417.29</v>
      </c>
      <c r="I436" s="154"/>
      <c r="J436" s="155"/>
    </row>
    <row r="437" spans="2:10">
      <c r="B437" s="139" t="s">
        <v>684</v>
      </c>
      <c r="C437" s="140" t="s">
        <v>547</v>
      </c>
      <c r="D437" s="175" t="s">
        <v>144</v>
      </c>
      <c r="E437" s="141" t="s">
        <v>1177</v>
      </c>
      <c r="F437" s="140">
        <v>57</v>
      </c>
      <c r="G437" s="140">
        <v>57</v>
      </c>
      <c r="H437" s="179">
        <v>4656209.49</v>
      </c>
      <c r="I437" s="154"/>
      <c r="J437" s="155"/>
    </row>
    <row r="438" spans="2:10">
      <c r="B438" s="139" t="s">
        <v>685</v>
      </c>
      <c r="C438" s="140" t="s">
        <v>549</v>
      </c>
      <c r="D438" s="175" t="s">
        <v>113</v>
      </c>
      <c r="E438" s="141" t="s">
        <v>1178</v>
      </c>
      <c r="F438" s="140">
        <v>32</v>
      </c>
      <c r="G438" s="140">
        <v>32</v>
      </c>
      <c r="H438" s="179">
        <v>3303382.76</v>
      </c>
      <c r="I438" s="154"/>
      <c r="J438" s="155"/>
    </row>
    <row r="439" spans="2:10">
      <c r="B439" s="139" t="s">
        <v>686</v>
      </c>
      <c r="C439" s="140" t="s">
        <v>549</v>
      </c>
      <c r="D439" s="175" t="s">
        <v>32</v>
      </c>
      <c r="E439" s="141" t="s">
        <v>1179</v>
      </c>
      <c r="F439" s="140">
        <v>31</v>
      </c>
      <c r="G439" s="140">
        <v>31</v>
      </c>
      <c r="H439" s="179">
        <v>4065396.75</v>
      </c>
      <c r="I439" s="154"/>
      <c r="J439" s="155"/>
    </row>
    <row r="440" spans="2:10">
      <c r="B440" s="139" t="s">
        <v>687</v>
      </c>
      <c r="C440" s="140" t="s">
        <v>549</v>
      </c>
      <c r="D440" s="175" t="s">
        <v>125</v>
      </c>
      <c r="E440" s="141" t="s">
        <v>1180</v>
      </c>
      <c r="F440" s="140">
        <v>69</v>
      </c>
      <c r="G440" s="140">
        <v>90</v>
      </c>
      <c r="H440" s="179">
        <v>6343577.6600000001</v>
      </c>
      <c r="I440" s="154"/>
      <c r="J440" s="155"/>
    </row>
    <row r="441" spans="2:10">
      <c r="B441" s="139" t="s">
        <v>688</v>
      </c>
      <c r="C441" s="140" t="s">
        <v>547</v>
      </c>
      <c r="D441" s="175" t="s">
        <v>151</v>
      </c>
      <c r="E441" s="141" t="s">
        <v>1181</v>
      </c>
      <c r="F441" s="140">
        <v>36</v>
      </c>
      <c r="G441" s="140">
        <v>36</v>
      </c>
      <c r="H441" s="179">
        <v>1704261.1</v>
      </c>
      <c r="I441" s="154"/>
      <c r="J441" s="155"/>
    </row>
    <row r="442" spans="2:10">
      <c r="B442" s="139" t="s">
        <v>689</v>
      </c>
      <c r="C442" s="140" t="s">
        <v>549</v>
      </c>
      <c r="D442" s="175" t="s">
        <v>107</v>
      </c>
      <c r="E442" s="141" t="s">
        <v>1182</v>
      </c>
      <c r="F442" s="140">
        <v>52</v>
      </c>
      <c r="G442" s="140">
        <v>52</v>
      </c>
      <c r="H442" s="179">
        <v>9342192.4900000002</v>
      </c>
      <c r="I442" s="154"/>
      <c r="J442" s="155"/>
    </row>
    <row r="443" spans="2:10">
      <c r="B443" s="139" t="s">
        <v>1183</v>
      </c>
      <c r="C443" s="140" t="s">
        <v>549</v>
      </c>
      <c r="D443" s="175" t="s">
        <v>107</v>
      </c>
      <c r="E443" s="141" t="s">
        <v>1182</v>
      </c>
      <c r="F443" s="140">
        <v>0</v>
      </c>
      <c r="G443" s="140">
        <v>0</v>
      </c>
      <c r="H443" s="179">
        <v>5185256.2699999996</v>
      </c>
      <c r="I443" s="154"/>
      <c r="J443" s="155"/>
    </row>
    <row r="444" spans="2:10">
      <c r="B444" s="139" t="s">
        <v>690</v>
      </c>
      <c r="C444" s="140" t="s">
        <v>547</v>
      </c>
      <c r="D444" s="175" t="s">
        <v>154</v>
      </c>
      <c r="E444" s="141" t="s">
        <v>1184</v>
      </c>
      <c r="F444" s="140">
        <v>85</v>
      </c>
      <c r="G444" s="140">
        <v>85</v>
      </c>
      <c r="H444" s="179">
        <v>17195218.719999999</v>
      </c>
      <c r="I444" s="154"/>
      <c r="J444" s="155"/>
    </row>
    <row r="445" spans="2:10">
      <c r="B445" s="139" t="s">
        <v>691</v>
      </c>
      <c r="C445" s="140" t="s">
        <v>549</v>
      </c>
      <c r="D445" s="175" t="s">
        <v>136</v>
      </c>
      <c r="E445" s="141" t="s">
        <v>1185</v>
      </c>
      <c r="F445" s="140">
        <v>55</v>
      </c>
      <c r="G445" s="140">
        <v>56</v>
      </c>
      <c r="H445" s="179">
        <v>8789205.75</v>
      </c>
      <c r="I445" s="154"/>
      <c r="J445" s="155"/>
    </row>
    <row r="446" spans="2:10">
      <c r="B446" s="139" t="s">
        <v>692</v>
      </c>
      <c r="C446" s="140" t="s">
        <v>547</v>
      </c>
      <c r="D446" s="175" t="s">
        <v>120</v>
      </c>
      <c r="E446" s="141" t="s">
        <v>1186</v>
      </c>
      <c r="F446" s="140">
        <v>60</v>
      </c>
      <c r="G446" s="140">
        <v>60</v>
      </c>
      <c r="H446" s="179">
        <v>3501869.1</v>
      </c>
      <c r="I446" s="154"/>
      <c r="J446" s="155"/>
    </row>
    <row r="447" spans="2:10">
      <c r="B447" s="139" t="s">
        <v>693</v>
      </c>
      <c r="C447" s="140" t="s">
        <v>547</v>
      </c>
      <c r="D447" s="175" t="s">
        <v>151</v>
      </c>
      <c r="E447" s="141" t="s">
        <v>1187</v>
      </c>
      <c r="F447" s="140">
        <v>37</v>
      </c>
      <c r="G447" s="140">
        <v>37</v>
      </c>
      <c r="H447" s="179">
        <v>2743601.68</v>
      </c>
      <c r="I447" s="154"/>
      <c r="J447" s="155"/>
    </row>
    <row r="448" spans="2:10">
      <c r="B448" s="139" t="s">
        <v>502</v>
      </c>
      <c r="C448" s="140" t="s">
        <v>547</v>
      </c>
      <c r="D448" s="175" t="s">
        <v>107</v>
      </c>
      <c r="E448" s="141" t="s">
        <v>1188</v>
      </c>
      <c r="F448" s="140">
        <v>46</v>
      </c>
      <c r="G448" s="140">
        <v>46</v>
      </c>
      <c r="H448" s="179">
        <v>2405771.35</v>
      </c>
      <c r="I448" s="154"/>
      <c r="J448" s="155"/>
    </row>
    <row r="449" spans="2:10">
      <c r="B449" s="139" t="s">
        <v>503</v>
      </c>
      <c r="C449" s="140" t="s">
        <v>549</v>
      </c>
      <c r="D449" s="175" t="s">
        <v>148</v>
      </c>
      <c r="E449" s="141" t="s">
        <v>1189</v>
      </c>
      <c r="F449" s="140">
        <v>45</v>
      </c>
      <c r="G449" s="140">
        <v>45</v>
      </c>
      <c r="H449" s="179">
        <v>3326942.36</v>
      </c>
      <c r="I449" s="154"/>
      <c r="J449" s="155"/>
    </row>
    <row r="450" spans="2:10">
      <c r="B450" s="139" t="s">
        <v>504</v>
      </c>
      <c r="C450" s="140" t="s">
        <v>549</v>
      </c>
      <c r="D450" s="175" t="s">
        <v>102</v>
      </c>
      <c r="E450" s="141" t="s">
        <v>1190</v>
      </c>
      <c r="F450" s="140">
        <v>33</v>
      </c>
      <c r="G450" s="140">
        <v>33</v>
      </c>
      <c r="H450" s="179">
        <v>2865291.46</v>
      </c>
      <c r="I450" s="154"/>
      <c r="J450" s="155"/>
    </row>
    <row r="451" spans="2:10">
      <c r="B451" s="139" t="s">
        <v>505</v>
      </c>
      <c r="C451" s="140" t="s">
        <v>547</v>
      </c>
      <c r="D451" s="175" t="s">
        <v>126</v>
      </c>
      <c r="E451" s="141" t="s">
        <v>1191</v>
      </c>
      <c r="F451" s="140">
        <v>59</v>
      </c>
      <c r="G451" s="140">
        <v>59</v>
      </c>
      <c r="H451" s="179">
        <v>6856550.6799999997</v>
      </c>
      <c r="I451" s="154"/>
      <c r="J451" s="155"/>
    </row>
    <row r="452" spans="2:10">
      <c r="B452" s="139" t="s">
        <v>650</v>
      </c>
      <c r="C452" s="140" t="s">
        <v>547</v>
      </c>
      <c r="D452" s="175" t="s">
        <v>126</v>
      </c>
      <c r="E452" s="141" t="s">
        <v>1192</v>
      </c>
      <c r="F452" s="140">
        <v>37</v>
      </c>
      <c r="G452" s="140">
        <v>37</v>
      </c>
      <c r="H452" s="179">
        <v>2699426.49</v>
      </c>
      <c r="I452" s="154"/>
      <c r="J452" s="155"/>
    </row>
    <row r="453" spans="2:10">
      <c r="B453" s="139" t="s">
        <v>506</v>
      </c>
      <c r="C453" s="140" t="s">
        <v>547</v>
      </c>
      <c r="D453" s="175" t="s">
        <v>107</v>
      </c>
      <c r="E453" s="141" t="s">
        <v>1193</v>
      </c>
      <c r="F453" s="140">
        <v>75</v>
      </c>
      <c r="G453" s="140">
        <v>75</v>
      </c>
      <c r="H453" s="179">
        <v>12872708.66</v>
      </c>
      <c r="I453" s="154"/>
      <c r="J453" s="155"/>
    </row>
    <row r="454" spans="2:10">
      <c r="B454" s="139" t="s">
        <v>507</v>
      </c>
      <c r="C454" s="140" t="s">
        <v>549</v>
      </c>
      <c r="D454" s="175" t="s">
        <v>124</v>
      </c>
      <c r="E454" s="141" t="s">
        <v>1194</v>
      </c>
      <c r="F454" s="140">
        <v>47</v>
      </c>
      <c r="G454" s="140">
        <v>56</v>
      </c>
      <c r="H454" s="179">
        <v>5186524.8600000003</v>
      </c>
      <c r="I454" s="154"/>
      <c r="J454" s="155"/>
    </row>
    <row r="455" spans="2:10">
      <c r="B455" s="139" t="s">
        <v>508</v>
      </c>
      <c r="C455" s="140" t="s">
        <v>549</v>
      </c>
      <c r="D455" s="175" t="s">
        <v>108</v>
      </c>
      <c r="E455" s="141" t="s">
        <v>1195</v>
      </c>
      <c r="F455" s="140">
        <v>22</v>
      </c>
      <c r="G455" s="140">
        <v>22</v>
      </c>
      <c r="H455" s="179">
        <v>3249293.65</v>
      </c>
      <c r="I455" s="154"/>
      <c r="J455" s="155"/>
    </row>
    <row r="456" spans="2:10">
      <c r="B456" s="139" t="s">
        <v>651</v>
      </c>
      <c r="C456" s="140" t="s">
        <v>547</v>
      </c>
      <c r="D456" s="175" t="s">
        <v>156</v>
      </c>
      <c r="E456" s="141" t="s">
        <v>1196</v>
      </c>
      <c r="F456" s="140">
        <v>30</v>
      </c>
      <c r="G456" s="140">
        <v>30</v>
      </c>
      <c r="H456" s="179">
        <v>1577877.15</v>
      </c>
      <c r="I456" s="154"/>
      <c r="J456" s="155"/>
    </row>
    <row r="457" spans="2:10">
      <c r="B457" s="139" t="s">
        <v>579</v>
      </c>
      <c r="C457" s="140" t="s">
        <v>549</v>
      </c>
      <c r="D457" s="175" t="s">
        <v>117</v>
      </c>
      <c r="E457" s="141" t="s">
        <v>1197</v>
      </c>
      <c r="F457" s="140">
        <v>29</v>
      </c>
      <c r="G457" s="140">
        <v>29</v>
      </c>
      <c r="H457" s="179">
        <v>2600055.2999999998</v>
      </c>
      <c r="I457" s="154"/>
      <c r="J457" s="155"/>
    </row>
    <row r="458" spans="2:10">
      <c r="B458" s="139" t="s">
        <v>509</v>
      </c>
      <c r="C458" s="140" t="s">
        <v>547</v>
      </c>
      <c r="D458" s="175" t="s">
        <v>136</v>
      </c>
      <c r="E458" s="141" t="s">
        <v>1198</v>
      </c>
      <c r="F458" s="140">
        <v>75</v>
      </c>
      <c r="G458" s="140">
        <v>75</v>
      </c>
      <c r="H458" s="179">
        <v>12280512.48</v>
      </c>
      <c r="I458" s="154"/>
      <c r="J458" s="155"/>
    </row>
    <row r="459" spans="2:10">
      <c r="B459" s="139" t="s">
        <v>510</v>
      </c>
      <c r="C459" s="140" t="s">
        <v>547</v>
      </c>
      <c r="D459" s="175" t="s">
        <v>129</v>
      </c>
      <c r="E459" s="141" t="s">
        <v>1199</v>
      </c>
      <c r="F459" s="140">
        <v>90</v>
      </c>
      <c r="G459" s="140">
        <v>90</v>
      </c>
      <c r="H459" s="179">
        <v>4418002.32</v>
      </c>
      <c r="I459" s="154"/>
      <c r="J459" s="155"/>
    </row>
    <row r="460" spans="2:10">
      <c r="B460" s="139" t="s">
        <v>511</v>
      </c>
      <c r="C460" s="140" t="s">
        <v>549</v>
      </c>
      <c r="D460" s="175" t="s">
        <v>118</v>
      </c>
      <c r="E460" s="141" t="s">
        <v>1200</v>
      </c>
      <c r="F460" s="140">
        <v>40</v>
      </c>
      <c r="G460" s="140">
        <v>40</v>
      </c>
      <c r="H460" s="179">
        <v>7908140.4299999997</v>
      </c>
      <c r="I460" s="154"/>
      <c r="J460" s="155"/>
    </row>
    <row r="461" spans="2:10">
      <c r="B461" s="139" t="s">
        <v>512</v>
      </c>
      <c r="C461" s="140" t="s">
        <v>549</v>
      </c>
      <c r="D461" s="175" t="s">
        <v>128</v>
      </c>
      <c r="E461" s="141" t="s">
        <v>1201</v>
      </c>
      <c r="F461" s="140">
        <v>50</v>
      </c>
      <c r="G461" s="140">
        <v>50</v>
      </c>
      <c r="H461" s="179">
        <v>5632783.3700000001</v>
      </c>
      <c r="I461" s="154"/>
      <c r="J461" s="155"/>
    </row>
    <row r="462" spans="2:10">
      <c r="B462" s="139" t="s">
        <v>513</v>
      </c>
      <c r="C462" s="140" t="s">
        <v>549</v>
      </c>
      <c r="D462" s="175" t="s">
        <v>144</v>
      </c>
      <c r="E462" s="141" t="s">
        <v>1202</v>
      </c>
      <c r="F462" s="140">
        <v>31</v>
      </c>
      <c r="G462" s="140">
        <v>31</v>
      </c>
      <c r="H462" s="179">
        <v>3253507.45</v>
      </c>
      <c r="I462" s="154"/>
      <c r="J462" s="155"/>
    </row>
    <row r="463" spans="2:10">
      <c r="B463" s="139" t="s">
        <v>514</v>
      </c>
      <c r="C463" s="140" t="s">
        <v>549</v>
      </c>
      <c r="D463" s="175" t="s">
        <v>136</v>
      </c>
      <c r="E463" s="141" t="s">
        <v>1203</v>
      </c>
      <c r="F463" s="140">
        <v>78</v>
      </c>
      <c r="G463" s="140">
        <v>79</v>
      </c>
      <c r="H463" s="179">
        <v>11747654.57</v>
      </c>
      <c r="I463" s="154"/>
      <c r="J463" s="155"/>
    </row>
    <row r="464" spans="2:10">
      <c r="B464" s="139" t="s">
        <v>515</v>
      </c>
      <c r="C464" s="140" t="s">
        <v>549</v>
      </c>
      <c r="D464" s="175" t="s">
        <v>32</v>
      </c>
      <c r="E464" s="141" t="s">
        <v>1204</v>
      </c>
      <c r="F464" s="140">
        <v>26</v>
      </c>
      <c r="G464" s="140">
        <v>26</v>
      </c>
      <c r="H464" s="179">
        <v>3154941.66</v>
      </c>
      <c r="I464" s="154"/>
      <c r="J464" s="155"/>
    </row>
    <row r="465" spans="2:10">
      <c r="B465" s="139" t="s">
        <v>516</v>
      </c>
      <c r="C465" s="140" t="s">
        <v>549</v>
      </c>
      <c r="D465" s="175" t="s">
        <v>116</v>
      </c>
      <c r="E465" s="141" t="s">
        <v>1205</v>
      </c>
      <c r="F465" s="140">
        <v>71</v>
      </c>
      <c r="G465" s="140">
        <v>80</v>
      </c>
      <c r="H465" s="179">
        <v>15800191</v>
      </c>
      <c r="I465" s="154"/>
      <c r="J465" s="155"/>
    </row>
    <row r="466" spans="2:10">
      <c r="B466" s="139" t="s">
        <v>517</v>
      </c>
      <c r="C466" s="140" t="s">
        <v>547</v>
      </c>
      <c r="D466" s="175" t="s">
        <v>1050</v>
      </c>
      <c r="E466" s="141" t="s">
        <v>1206</v>
      </c>
      <c r="F466" s="140">
        <v>25</v>
      </c>
      <c r="G466" s="140">
        <v>25</v>
      </c>
      <c r="H466" s="179">
        <v>1563507.02</v>
      </c>
      <c r="I466" s="154"/>
      <c r="J466" s="155"/>
    </row>
    <row r="467" spans="2:10">
      <c r="B467" s="139" t="s">
        <v>652</v>
      </c>
      <c r="C467" s="140" t="s">
        <v>547</v>
      </c>
      <c r="D467" s="175" t="s">
        <v>1050</v>
      </c>
      <c r="E467" s="141" t="s">
        <v>1207</v>
      </c>
      <c r="F467" s="140">
        <v>50</v>
      </c>
      <c r="G467" s="140">
        <v>50</v>
      </c>
      <c r="H467" s="179">
        <v>2537806.2799999998</v>
      </c>
      <c r="I467" s="154"/>
      <c r="J467" s="155"/>
    </row>
    <row r="468" spans="2:10">
      <c r="B468" s="139" t="s">
        <v>518</v>
      </c>
      <c r="C468" s="140" t="s">
        <v>547</v>
      </c>
      <c r="D468" s="175" t="s">
        <v>125</v>
      </c>
      <c r="E468" s="141" t="s">
        <v>1208</v>
      </c>
      <c r="F468" s="140">
        <v>97</v>
      </c>
      <c r="G468" s="140">
        <v>97</v>
      </c>
      <c r="H468" s="179">
        <v>4505821.97</v>
      </c>
      <c r="I468" s="154"/>
      <c r="J468" s="155"/>
    </row>
    <row r="469" spans="2:10">
      <c r="B469" s="139" t="s">
        <v>519</v>
      </c>
      <c r="C469" s="140" t="s">
        <v>547</v>
      </c>
      <c r="D469" s="175" t="s">
        <v>125</v>
      </c>
      <c r="E469" s="141" t="s">
        <v>1209</v>
      </c>
      <c r="F469" s="140">
        <v>60</v>
      </c>
      <c r="G469" s="140">
        <v>60</v>
      </c>
      <c r="H469" s="179">
        <v>4101317.05</v>
      </c>
      <c r="I469" s="154"/>
      <c r="J469" s="155"/>
    </row>
    <row r="470" spans="2:10">
      <c r="B470" s="139" t="s">
        <v>520</v>
      </c>
      <c r="C470" s="140" t="s">
        <v>547</v>
      </c>
      <c r="D470" s="175" t="s">
        <v>99</v>
      </c>
      <c r="E470" s="141" t="s">
        <v>1210</v>
      </c>
      <c r="F470" s="140">
        <v>100</v>
      </c>
      <c r="G470" s="140">
        <v>100</v>
      </c>
      <c r="H470" s="179">
        <v>7130457.5899999999</v>
      </c>
      <c r="I470" s="154"/>
      <c r="J470" s="155"/>
    </row>
    <row r="471" spans="2:10">
      <c r="B471" s="139" t="s">
        <v>521</v>
      </c>
      <c r="C471" s="140" t="s">
        <v>547</v>
      </c>
      <c r="D471" s="175" t="s">
        <v>99</v>
      </c>
      <c r="E471" s="141" t="s">
        <v>1211</v>
      </c>
      <c r="F471" s="140">
        <v>80</v>
      </c>
      <c r="G471" s="140">
        <v>80</v>
      </c>
      <c r="H471" s="179">
        <v>7464986.1399999997</v>
      </c>
      <c r="I471" s="154"/>
      <c r="J471" s="155"/>
    </row>
    <row r="472" spans="2:10">
      <c r="B472" s="139" t="s">
        <v>522</v>
      </c>
      <c r="C472" s="140" t="s">
        <v>547</v>
      </c>
      <c r="D472" s="175" t="s">
        <v>158</v>
      </c>
      <c r="E472" s="141" t="s">
        <v>1212</v>
      </c>
      <c r="F472" s="140">
        <v>40</v>
      </c>
      <c r="G472" s="140">
        <v>45</v>
      </c>
      <c r="H472" s="179">
        <v>3694493.16</v>
      </c>
      <c r="I472" s="154"/>
      <c r="J472" s="155"/>
    </row>
    <row r="473" spans="2:10">
      <c r="B473" s="139" t="s">
        <v>523</v>
      </c>
      <c r="C473" s="140" t="s">
        <v>547</v>
      </c>
      <c r="D473" s="175" t="s">
        <v>158</v>
      </c>
      <c r="E473" s="141" t="s">
        <v>1213</v>
      </c>
      <c r="F473" s="140">
        <v>40</v>
      </c>
      <c r="G473" s="140">
        <v>51</v>
      </c>
      <c r="H473" s="179">
        <v>2826918</v>
      </c>
      <c r="I473" s="154"/>
      <c r="J473" s="155"/>
    </row>
    <row r="474" spans="2:10">
      <c r="B474" s="139" t="s">
        <v>653</v>
      </c>
      <c r="C474" s="140" t="s">
        <v>547</v>
      </c>
      <c r="D474" s="175" t="s">
        <v>158</v>
      </c>
      <c r="E474" s="141" t="s">
        <v>1214</v>
      </c>
      <c r="F474" s="140">
        <v>24</v>
      </c>
      <c r="G474" s="140">
        <v>24</v>
      </c>
      <c r="H474" s="179">
        <v>1190797.08</v>
      </c>
      <c r="I474" s="154"/>
      <c r="J474" s="155"/>
    </row>
    <row r="475" spans="2:10">
      <c r="B475" s="139" t="s">
        <v>524</v>
      </c>
      <c r="C475" s="140" t="s">
        <v>549</v>
      </c>
      <c r="D475" s="175" t="s">
        <v>103</v>
      </c>
      <c r="E475" s="141" t="s">
        <v>1215</v>
      </c>
      <c r="F475" s="140">
        <v>76</v>
      </c>
      <c r="G475" s="140">
        <v>76</v>
      </c>
      <c r="H475" s="179">
        <v>16031672.779999999</v>
      </c>
      <c r="I475" s="154"/>
      <c r="J475" s="155"/>
    </row>
    <row r="476" spans="2:10">
      <c r="B476" s="139" t="s">
        <v>1216</v>
      </c>
      <c r="C476" s="140" t="s">
        <v>549</v>
      </c>
      <c r="D476" s="175" t="s">
        <v>103</v>
      </c>
      <c r="E476" s="141" t="s">
        <v>1215</v>
      </c>
      <c r="F476" s="140">
        <v>0</v>
      </c>
      <c r="G476" s="140">
        <v>0</v>
      </c>
      <c r="H476" s="179">
        <v>3385057.41</v>
      </c>
      <c r="I476" s="154"/>
      <c r="J476" s="155"/>
    </row>
    <row r="477" spans="2:10">
      <c r="B477" s="139" t="s">
        <v>525</v>
      </c>
      <c r="C477" s="140" t="s">
        <v>549</v>
      </c>
      <c r="D477" s="175" t="s">
        <v>137</v>
      </c>
      <c r="E477" s="141" t="s">
        <v>1217</v>
      </c>
      <c r="F477" s="140">
        <v>70</v>
      </c>
      <c r="G477" s="140">
        <v>70</v>
      </c>
      <c r="H477" s="179">
        <v>12441322.91</v>
      </c>
      <c r="I477" s="154"/>
      <c r="J477" s="155"/>
    </row>
    <row r="478" spans="2:10">
      <c r="B478" s="139" t="s">
        <v>654</v>
      </c>
      <c r="C478" s="140" t="s">
        <v>547</v>
      </c>
      <c r="D478" s="175" t="s">
        <v>97</v>
      </c>
      <c r="E478" s="141" t="s">
        <v>1218</v>
      </c>
      <c r="F478" s="140">
        <v>103</v>
      </c>
      <c r="G478" s="140">
        <v>103</v>
      </c>
      <c r="H478" s="179">
        <v>7865903.5800000001</v>
      </c>
      <c r="I478" s="154"/>
      <c r="J478" s="155"/>
    </row>
    <row r="479" spans="2:10">
      <c r="B479" s="139" t="s">
        <v>526</v>
      </c>
      <c r="C479" s="140" t="s">
        <v>549</v>
      </c>
      <c r="D479" s="175" t="s">
        <v>117</v>
      </c>
      <c r="E479" s="141" t="s">
        <v>1219</v>
      </c>
      <c r="F479" s="140">
        <v>81</v>
      </c>
      <c r="G479" s="140">
        <v>81</v>
      </c>
      <c r="H479" s="179">
        <v>8598957.5600000005</v>
      </c>
      <c r="I479" s="154"/>
      <c r="J479" s="155"/>
    </row>
    <row r="480" spans="2:10">
      <c r="B480" s="139" t="s">
        <v>655</v>
      </c>
      <c r="C480" s="140" t="s">
        <v>547</v>
      </c>
      <c r="D480" s="175" t="s">
        <v>136</v>
      </c>
      <c r="E480" s="141" t="s">
        <v>1220</v>
      </c>
      <c r="F480" s="140">
        <v>67</v>
      </c>
      <c r="G480" s="140">
        <v>67</v>
      </c>
      <c r="H480" s="179">
        <v>5758924.29</v>
      </c>
      <c r="I480" s="154"/>
      <c r="J480" s="155"/>
    </row>
    <row r="481" spans="2:10">
      <c r="B481" s="139" t="s">
        <v>527</v>
      </c>
      <c r="C481" s="140" t="s">
        <v>549</v>
      </c>
      <c r="D481" s="175" t="s">
        <v>154</v>
      </c>
      <c r="E481" s="141" t="s">
        <v>1221</v>
      </c>
      <c r="F481" s="140">
        <v>80</v>
      </c>
      <c r="G481" s="140">
        <v>80</v>
      </c>
      <c r="H481" s="179">
        <v>9010117.2799999993</v>
      </c>
      <c r="I481" s="154"/>
      <c r="J481" s="155"/>
    </row>
    <row r="482" spans="2:10">
      <c r="B482" s="139" t="s">
        <v>656</v>
      </c>
      <c r="C482" s="140" t="s">
        <v>547</v>
      </c>
      <c r="D482" s="175" t="s">
        <v>154</v>
      </c>
      <c r="E482" s="141" t="s">
        <v>1222</v>
      </c>
      <c r="F482" s="140">
        <v>60</v>
      </c>
      <c r="G482" s="140">
        <v>60</v>
      </c>
      <c r="H482" s="179">
        <v>2739390.62</v>
      </c>
      <c r="I482" s="154"/>
      <c r="J482" s="155"/>
    </row>
    <row r="483" spans="2:10">
      <c r="B483" s="139" t="s">
        <v>657</v>
      </c>
      <c r="C483" s="140" t="s">
        <v>547</v>
      </c>
      <c r="D483" s="175" t="s">
        <v>97</v>
      </c>
      <c r="E483" s="141" t="s">
        <v>1223</v>
      </c>
      <c r="F483" s="140">
        <v>31</v>
      </c>
      <c r="G483" s="140">
        <v>31</v>
      </c>
      <c r="H483" s="179">
        <v>1484407.57</v>
      </c>
      <c r="I483" s="154"/>
      <c r="J483" s="155"/>
    </row>
    <row r="484" spans="2:10">
      <c r="B484" s="139" t="s">
        <v>528</v>
      </c>
      <c r="C484" s="140" t="s">
        <v>547</v>
      </c>
      <c r="D484" s="175" t="s">
        <v>121</v>
      </c>
      <c r="E484" s="141" t="s">
        <v>1224</v>
      </c>
      <c r="F484" s="140">
        <v>34</v>
      </c>
      <c r="G484" s="140">
        <v>34</v>
      </c>
      <c r="H484" s="179">
        <v>1955667.01</v>
      </c>
      <c r="I484" s="154"/>
      <c r="J484" s="155"/>
    </row>
    <row r="485" spans="2:10">
      <c r="B485" s="139" t="s">
        <v>529</v>
      </c>
      <c r="C485" s="140" t="s">
        <v>549</v>
      </c>
      <c r="D485" s="175" t="s">
        <v>133</v>
      </c>
      <c r="E485" s="141" t="s">
        <v>1225</v>
      </c>
      <c r="F485" s="140">
        <v>90</v>
      </c>
      <c r="G485" s="140">
        <v>90</v>
      </c>
      <c r="H485" s="179">
        <v>20089373.010000002</v>
      </c>
      <c r="I485" s="154"/>
      <c r="J485" s="155"/>
    </row>
    <row r="486" spans="2:10">
      <c r="B486" s="139" t="s">
        <v>530</v>
      </c>
      <c r="C486" s="140" t="s">
        <v>549</v>
      </c>
      <c r="D486" s="175" t="s">
        <v>103</v>
      </c>
      <c r="E486" s="141" t="s">
        <v>1226</v>
      </c>
      <c r="F486" s="140">
        <v>78</v>
      </c>
      <c r="G486" s="140">
        <v>88</v>
      </c>
      <c r="H486" s="179">
        <v>17667124.510000002</v>
      </c>
      <c r="I486" s="154"/>
      <c r="J486" s="155"/>
    </row>
    <row r="487" spans="2:10">
      <c r="B487" s="139" t="s">
        <v>531</v>
      </c>
      <c r="C487" s="140" t="s">
        <v>549</v>
      </c>
      <c r="D487" s="175" t="s">
        <v>140</v>
      </c>
      <c r="E487" s="141" t="s">
        <v>1227</v>
      </c>
      <c r="F487" s="140">
        <v>40</v>
      </c>
      <c r="G487" s="140">
        <v>40</v>
      </c>
      <c r="H487" s="179">
        <v>4902471.22</v>
      </c>
      <c r="I487" s="154"/>
      <c r="J487" s="155"/>
    </row>
    <row r="488" spans="2:10">
      <c r="B488" s="139" t="s">
        <v>532</v>
      </c>
      <c r="C488" s="140" t="s">
        <v>549</v>
      </c>
      <c r="D488" s="175" t="s">
        <v>122</v>
      </c>
      <c r="E488" s="141" t="s">
        <v>1228</v>
      </c>
      <c r="F488" s="140">
        <v>40</v>
      </c>
      <c r="G488" s="140">
        <v>42</v>
      </c>
      <c r="H488" s="179">
        <v>6327339.0199999996</v>
      </c>
      <c r="I488" s="154"/>
      <c r="J488" s="155"/>
    </row>
    <row r="489" spans="2:10">
      <c r="B489" s="139" t="s">
        <v>533</v>
      </c>
      <c r="C489" s="140" t="s">
        <v>549</v>
      </c>
      <c r="D489" s="175" t="s">
        <v>154</v>
      </c>
      <c r="E489" s="141" t="s">
        <v>1229</v>
      </c>
      <c r="F489" s="140">
        <v>70</v>
      </c>
      <c r="G489" s="140">
        <v>70</v>
      </c>
      <c r="H489" s="179">
        <v>10046386.25</v>
      </c>
      <c r="I489" s="154"/>
      <c r="J489" s="155"/>
    </row>
    <row r="490" spans="2:10">
      <c r="B490" s="139" t="s">
        <v>534</v>
      </c>
      <c r="C490" s="140" t="s">
        <v>549</v>
      </c>
      <c r="D490" s="175" t="s">
        <v>158</v>
      </c>
      <c r="E490" s="141" t="s">
        <v>1230</v>
      </c>
      <c r="F490" s="140">
        <v>34</v>
      </c>
      <c r="G490" s="140">
        <v>34</v>
      </c>
      <c r="H490" s="179">
        <v>800139.1</v>
      </c>
      <c r="I490" s="154"/>
      <c r="J490" s="155"/>
    </row>
    <row r="491" spans="2:10">
      <c r="B491" s="139" t="s">
        <v>1231</v>
      </c>
      <c r="C491" s="140" t="s">
        <v>549</v>
      </c>
      <c r="D491" s="175" t="s">
        <v>158</v>
      </c>
      <c r="E491" s="141" t="s">
        <v>1230</v>
      </c>
      <c r="F491" s="140">
        <v>0</v>
      </c>
      <c r="G491" s="140">
        <v>0</v>
      </c>
      <c r="H491" s="179">
        <v>2952018.38</v>
      </c>
      <c r="I491" s="154"/>
      <c r="J491" s="155"/>
    </row>
    <row r="492" spans="2:10">
      <c r="B492" s="139" t="s">
        <v>535</v>
      </c>
      <c r="C492" s="140" t="s">
        <v>549</v>
      </c>
      <c r="D492" s="175" t="s">
        <v>136</v>
      </c>
      <c r="E492" s="141" t="s">
        <v>1232</v>
      </c>
      <c r="F492" s="140">
        <v>40</v>
      </c>
      <c r="G492" s="140">
        <v>50</v>
      </c>
      <c r="H492" s="179">
        <v>4293692.4400000004</v>
      </c>
      <c r="I492" s="154"/>
      <c r="J492" s="155"/>
    </row>
    <row r="493" spans="2:10">
      <c r="B493" s="139" t="s">
        <v>536</v>
      </c>
      <c r="C493" s="140" t="s">
        <v>547</v>
      </c>
      <c r="D493" s="175" t="s">
        <v>153</v>
      </c>
      <c r="E493" s="141" t="s">
        <v>1233</v>
      </c>
      <c r="F493" s="140">
        <v>50</v>
      </c>
      <c r="G493" s="140">
        <v>50</v>
      </c>
      <c r="H493" s="179">
        <v>3961855.11</v>
      </c>
      <c r="I493" s="154"/>
      <c r="J493" s="155"/>
    </row>
    <row r="494" spans="2:10">
      <c r="B494" s="139" t="s">
        <v>537</v>
      </c>
      <c r="C494" s="140" t="s">
        <v>549</v>
      </c>
      <c r="D494" s="175" t="s">
        <v>115</v>
      </c>
      <c r="E494" s="141" t="s">
        <v>1234</v>
      </c>
      <c r="F494" s="140">
        <v>40</v>
      </c>
      <c r="G494" s="140">
        <v>40</v>
      </c>
      <c r="H494" s="179">
        <v>6683839.54</v>
      </c>
      <c r="I494" s="154"/>
      <c r="J494" s="155"/>
    </row>
    <row r="495" spans="2:10">
      <c r="B495" s="139" t="s">
        <v>539</v>
      </c>
      <c r="C495" s="140" t="s">
        <v>547</v>
      </c>
      <c r="D495" s="175" t="s">
        <v>98</v>
      </c>
      <c r="E495" s="141" t="s">
        <v>1235</v>
      </c>
      <c r="F495" s="140">
        <v>15</v>
      </c>
      <c r="G495" s="140">
        <v>15</v>
      </c>
      <c r="H495" s="179">
        <v>480743.21</v>
      </c>
    </row>
    <row r="496" spans="2:10">
      <c r="B496" s="139" t="s">
        <v>539</v>
      </c>
      <c r="C496" s="140" t="s">
        <v>547</v>
      </c>
      <c r="D496" s="175" t="s">
        <v>98</v>
      </c>
      <c r="E496" s="141" t="s">
        <v>1236</v>
      </c>
      <c r="F496" s="140">
        <v>68</v>
      </c>
      <c r="G496" s="140">
        <v>68</v>
      </c>
      <c r="H496" s="179">
        <v>6656306.4800000004</v>
      </c>
    </row>
    <row r="497" spans="2:28">
      <c r="B497" s="139" t="s">
        <v>540</v>
      </c>
      <c r="C497" s="140" t="s">
        <v>547</v>
      </c>
      <c r="D497" s="175" t="s">
        <v>98</v>
      </c>
      <c r="E497" s="141" t="s">
        <v>1237</v>
      </c>
      <c r="F497" s="140">
        <v>55</v>
      </c>
      <c r="G497" s="140">
        <v>55</v>
      </c>
      <c r="H497" s="179">
        <v>4616941.05</v>
      </c>
    </row>
    <row r="498" spans="2:28">
      <c r="B498" s="139" t="s">
        <v>543</v>
      </c>
      <c r="C498" s="140" t="s">
        <v>547</v>
      </c>
      <c r="D498" s="175" t="s">
        <v>130</v>
      </c>
      <c r="E498" s="141" t="s">
        <v>1238</v>
      </c>
      <c r="F498" s="140">
        <v>103</v>
      </c>
      <c r="G498" s="140">
        <v>103</v>
      </c>
      <c r="H498" s="179">
        <v>7661080.3600000003</v>
      </c>
    </row>
    <row r="499" spans="2:28">
      <c r="B499" s="139" t="s">
        <v>544</v>
      </c>
      <c r="C499" s="140" t="s">
        <v>547</v>
      </c>
      <c r="D499" s="175" t="s">
        <v>130</v>
      </c>
      <c r="E499" s="141" t="s">
        <v>1239</v>
      </c>
      <c r="F499" s="140">
        <v>76</v>
      </c>
      <c r="G499" s="140">
        <v>76</v>
      </c>
      <c r="H499" s="179">
        <v>13919543.9</v>
      </c>
    </row>
    <row r="500" spans="2:28" s="135" customFormat="1">
      <c r="B500" s="139" t="s">
        <v>542</v>
      </c>
      <c r="C500" s="140" t="s">
        <v>547</v>
      </c>
      <c r="D500" s="175" t="s">
        <v>130</v>
      </c>
      <c r="E500" s="141" t="s">
        <v>1240</v>
      </c>
      <c r="F500" s="140">
        <v>29</v>
      </c>
      <c r="G500" s="140">
        <v>29</v>
      </c>
      <c r="H500" s="179">
        <v>1896784.63</v>
      </c>
      <c r="I500" s="156"/>
      <c r="J500" s="156"/>
      <c r="K500" s="156"/>
      <c r="L500" s="153"/>
      <c r="M500" s="156"/>
      <c r="N500" s="156"/>
      <c r="O500" s="156"/>
      <c r="P500" s="153"/>
      <c r="Q500" s="156"/>
      <c r="R500" s="156"/>
      <c r="S500" s="156"/>
      <c r="T500" s="156"/>
      <c r="U500" s="156"/>
      <c r="V500" s="156"/>
      <c r="W500" s="156"/>
      <c r="X500" s="156"/>
      <c r="Y500" s="156"/>
      <c r="Z500" s="156"/>
      <c r="AA500" s="156"/>
      <c r="AB500" s="156"/>
    </row>
    <row r="501" spans="2:28">
      <c r="B501" s="139" t="s">
        <v>545</v>
      </c>
      <c r="C501" s="140" t="s">
        <v>549</v>
      </c>
      <c r="D501" s="175" t="s">
        <v>156</v>
      </c>
      <c r="E501" s="141" t="s">
        <v>1241</v>
      </c>
      <c r="F501" s="140">
        <v>70</v>
      </c>
      <c r="G501" s="140">
        <v>72</v>
      </c>
      <c r="H501" s="179">
        <v>5693419.6900000004</v>
      </c>
    </row>
    <row r="502" spans="2:28">
      <c r="B502" s="139" t="s">
        <v>546</v>
      </c>
      <c r="C502" s="140" t="s">
        <v>549</v>
      </c>
      <c r="D502" s="175" t="s">
        <v>112</v>
      </c>
      <c r="E502" s="141" t="s">
        <v>1242</v>
      </c>
      <c r="F502" s="140">
        <v>100</v>
      </c>
      <c r="G502" s="140">
        <v>100</v>
      </c>
      <c r="H502" s="179">
        <v>11074128.310000001</v>
      </c>
    </row>
    <row r="503" spans="2:28">
      <c r="B503" s="133"/>
    </row>
    <row r="504" spans="2:28">
      <c r="B504" s="133"/>
    </row>
    <row r="505" spans="2:28">
      <c r="B505" s="133"/>
    </row>
    <row r="506" spans="2:28">
      <c r="B506" s="142"/>
      <c r="C506" s="143"/>
      <c r="D506" s="143"/>
      <c r="E506" s="144"/>
    </row>
    <row r="507" spans="2:28">
      <c r="B507" s="142"/>
      <c r="C507" s="143"/>
      <c r="D507" s="143"/>
      <c r="E507" s="144"/>
    </row>
    <row r="508" spans="2:28">
      <c r="B508" s="142"/>
      <c r="C508" s="143"/>
      <c r="D508" s="143"/>
      <c r="E508" s="144"/>
    </row>
    <row r="509" spans="2:28">
      <c r="B509" s="142"/>
      <c r="C509" s="143"/>
      <c r="D509" s="143"/>
      <c r="E509" s="144"/>
    </row>
    <row r="510" spans="2:28">
      <c r="B510" s="142"/>
      <c r="C510" s="143"/>
      <c r="D510" s="143"/>
      <c r="E510" s="144"/>
    </row>
    <row r="511" spans="2:28">
      <c r="B511" s="142"/>
      <c r="C511" s="143"/>
      <c r="D511" s="143"/>
      <c r="E511" s="144"/>
    </row>
    <row r="512" spans="2:28">
      <c r="B512" s="142"/>
      <c r="C512" s="143"/>
      <c r="D512" s="143"/>
      <c r="E512" s="144"/>
    </row>
    <row r="513" spans="2:5">
      <c r="B513" s="142"/>
      <c r="C513" s="143"/>
      <c r="D513" s="143"/>
      <c r="E513" s="144"/>
    </row>
    <row r="514" spans="2:5">
      <c r="B514" s="142"/>
      <c r="C514" s="143"/>
      <c r="D514" s="143"/>
      <c r="E514" s="144"/>
    </row>
    <row r="515" spans="2:5">
      <c r="B515" s="142"/>
      <c r="C515" s="143"/>
      <c r="D515" s="143"/>
      <c r="E515" s="144"/>
    </row>
    <row r="516" spans="2:5">
      <c r="B516" s="145"/>
    </row>
    <row r="851" spans="16:16">
      <c r="P851" s="156"/>
    </row>
  </sheetData>
  <sheetProtection sheet="1" autoFilter="0"/>
  <autoFilter ref="C6:D502" xr:uid="{77A6B5D7-F389-4A7B-9151-FE8AB9A5D8CA}"/>
  <sortState xmlns:xlrd2="http://schemas.microsoft.com/office/spreadsheetml/2017/richdata2" ref="B6:G497">
    <sortCondition ref="B6:B497"/>
  </sortState>
  <conditionalFormatting sqref="I6:I494">
    <cfRule type="duplicateValues" dxfId="1" priority="21"/>
  </conditionalFormatting>
  <conditionalFormatting sqref="P481:P972">
    <cfRule type="duplicateValues" dxfId="0" priority="3" stopIfTrue="1"/>
  </conditionalFormatting>
  <pageMargins left="0.70866141732283472" right="0.70866141732283472" top="0.39370078740157483" bottom="0.39370078740157483" header="0.31496062992125984" footer="0.31496062992125984"/>
  <pageSetup paperSize="9" scale="71"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zoomScale="74" zoomScaleNormal="74" workbookViewId="0">
      <pane xSplit="2" ySplit="4" topLeftCell="C5" activePane="bottomRight" state="frozen"/>
      <selection pane="topRight" activeCell="C1" sqref="C1"/>
      <selection pane="bottomLeft" activeCell="A5" sqref="A5"/>
      <selection pane="bottomRight" activeCell="G18" sqref="G18"/>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701</v>
      </c>
      <c r="I2" s="106" t="s">
        <v>695</v>
      </c>
      <c r="J2" s="12"/>
      <c r="K2" s="12"/>
      <c r="M2" s="12"/>
      <c r="N2" s="12"/>
      <c r="O2" s="12"/>
      <c r="P2" s="12"/>
      <c r="Q2" s="12"/>
      <c r="R2" s="12"/>
      <c r="S2" s="12"/>
      <c r="T2" s="12"/>
    </row>
    <row r="3" spans="1:24" customFormat="1" ht="14.5">
      <c r="A3" s="35"/>
      <c r="B3" s="12"/>
      <c r="C3" s="12"/>
      <c r="D3" s="52"/>
      <c r="E3" s="52"/>
      <c r="F3" s="53"/>
      <c r="G3" s="53"/>
      <c r="H3" s="169">
        <v>138.91</v>
      </c>
      <c r="I3" s="169">
        <v>133.5</v>
      </c>
      <c r="J3" s="12"/>
      <c r="K3" s="50"/>
      <c r="M3" s="50"/>
      <c r="N3" s="50"/>
      <c r="O3" s="50"/>
      <c r="P3" s="50"/>
      <c r="Q3" s="50"/>
      <c r="R3" s="50"/>
      <c r="S3" s="12"/>
      <c r="T3" s="12"/>
    </row>
    <row r="4" spans="1:24" customFormat="1" ht="69.75" customHeight="1">
      <c r="A4" s="35"/>
      <c r="B4" s="12"/>
      <c r="C4" s="167" t="s">
        <v>700</v>
      </c>
      <c r="D4" s="170" t="s">
        <v>702</v>
      </c>
      <c r="E4" s="170" t="s">
        <v>710</v>
      </c>
      <c r="F4" s="170" t="s">
        <v>711</v>
      </c>
      <c r="H4" s="170" t="s">
        <v>703</v>
      </c>
      <c r="I4" s="170" t="s">
        <v>694</v>
      </c>
      <c r="J4" s="170" t="str">
        <f>CONCATENATE("Ranked ",E4)</f>
        <v>Ranked Venues mid-2024</v>
      </c>
      <c r="K4" s="170" t="str">
        <f>CONCATENATE("Ranked ",F4)</f>
        <v>Ranked EGMs June 2024</v>
      </c>
      <c r="M4" s="170" t="s">
        <v>696</v>
      </c>
      <c r="N4" s="170" t="s">
        <v>697</v>
      </c>
      <c r="O4" s="170" t="s">
        <v>704</v>
      </c>
      <c r="P4" s="170" t="s">
        <v>705</v>
      </c>
      <c r="Q4" s="170" t="s">
        <v>706</v>
      </c>
      <c r="R4" s="170" t="s">
        <v>707</v>
      </c>
      <c r="S4" s="170" t="s">
        <v>708</v>
      </c>
      <c r="T4" s="170" t="s">
        <v>709</v>
      </c>
      <c r="U4" s="119"/>
    </row>
    <row r="5" spans="1:24" customFormat="1" ht="14.5">
      <c r="A5" s="35">
        <v>1</v>
      </c>
      <c r="B5" s="107" t="s">
        <v>4</v>
      </c>
      <c r="C5" s="108">
        <v>13182</v>
      </c>
      <c r="D5" s="109">
        <v>10395.229088480295</v>
      </c>
      <c r="E5" s="109">
        <v>2</v>
      </c>
      <c r="F5" s="109">
        <v>58</v>
      </c>
      <c r="H5" s="110">
        <v>2.8771794100000001</v>
      </c>
      <c r="I5" s="110">
        <v>2.7744115099999997</v>
      </c>
      <c r="J5" s="111">
        <f>RANK(E5,E$5:E$83)</f>
        <v>55</v>
      </c>
      <c r="K5" s="111">
        <f>RANK(F5,F$5:F$83)</f>
        <v>61</v>
      </c>
      <c r="M5" s="112">
        <f>F5/D5*1000</f>
        <v>5.5794826171049943</v>
      </c>
      <c r="N5" s="111">
        <f>RANK(M5,M$5:M$83)</f>
        <v>36</v>
      </c>
      <c r="O5" s="111">
        <f>RANK(H5,H$5:H$83)</f>
        <v>64</v>
      </c>
      <c r="P5" s="113">
        <f>H5/D5*1000000</f>
        <v>276.77883628254148</v>
      </c>
      <c r="Q5" s="111">
        <f>RANK(P5,P$5:P$83)</f>
        <v>56</v>
      </c>
      <c r="R5" s="112">
        <f>(H5-I5)/I5*100</f>
        <v>3.7041332776189484</v>
      </c>
      <c r="S5" s="112">
        <f>IF((I5*H$3/I$3)&gt;0,(H5-(I5*H$3/I$3))/(I5*H$3/I$3)*100,"")</f>
        <v>-0.3347362136481844</v>
      </c>
      <c r="T5" s="111">
        <f>RANK($S5,$S$5:$S$83)</f>
        <v>24</v>
      </c>
    </row>
    <row r="6" spans="1:24" customFormat="1" ht="14.5">
      <c r="A6" s="35">
        <v>2</v>
      </c>
      <c r="B6" s="107" t="s">
        <v>5</v>
      </c>
      <c r="C6" s="108">
        <v>11683</v>
      </c>
      <c r="D6" s="109">
        <v>9268.4021380603645</v>
      </c>
      <c r="E6" s="109">
        <v>2</v>
      </c>
      <c r="F6" s="109">
        <v>88</v>
      </c>
      <c r="H6" s="110">
        <v>6.2565689999999998</v>
      </c>
      <c r="I6" s="110">
        <v>6.2455004199999999</v>
      </c>
      <c r="J6" s="111">
        <f>RANK(E6,E$5:E$83)</f>
        <v>55</v>
      </c>
      <c r="K6" s="111">
        <f>RANK(F6,F$5:F$83)</f>
        <v>58</v>
      </c>
      <c r="M6" s="112">
        <f t="shared" ref="M6:M69" si="0">F6/D6*1000</f>
        <v>9.4946247140735434</v>
      </c>
      <c r="N6" s="111">
        <f t="shared" ref="N6:N69" si="1">RANK(M6,M$5:M$83)</f>
        <v>4</v>
      </c>
      <c r="O6" s="111">
        <f t="shared" ref="O6:O69" si="2">RANK(H6,H$5:H$83)</f>
        <v>57</v>
      </c>
      <c r="P6" s="113">
        <f t="shared" ref="P6:P69" si="3">H6/D6*1000000</f>
        <v>675.04289378075441</v>
      </c>
      <c r="Q6" s="111">
        <f t="shared" ref="Q6:Q69" si="4">RANK(P6,P$5:P$83)</f>
        <v>20</v>
      </c>
      <c r="R6" s="112">
        <f t="shared" ref="R6:R69" si="5">(H6-I6)/I6*100</f>
        <v>0.17722486999688464</v>
      </c>
      <c r="S6" s="112">
        <f>IF((I6*H$3/I$3)&gt;0,(H6-(I6*H$3/I$3))/(I6*H$3/I$3)*100,"")</f>
        <v>-3.7242853635837263</v>
      </c>
      <c r="T6" s="111">
        <f t="shared" ref="T6:T36" si="6">RANK($S6,$S$5:$S$83)</f>
        <v>44</v>
      </c>
    </row>
    <row r="7" spans="1:24" customFormat="1" ht="14.5">
      <c r="A7" s="35">
        <v>3</v>
      </c>
      <c r="B7" s="107" t="s">
        <v>6</v>
      </c>
      <c r="C7" s="108">
        <v>118137</v>
      </c>
      <c r="D7" s="109">
        <v>88644.122191280811</v>
      </c>
      <c r="E7" s="109">
        <v>14</v>
      </c>
      <c r="F7" s="109">
        <v>652</v>
      </c>
      <c r="H7" s="110">
        <v>63.55028239</v>
      </c>
      <c r="I7" s="110">
        <v>64.360765839999999</v>
      </c>
      <c r="J7" s="111">
        <f t="shared" ref="J7:K69" si="7">RANK(E7,E$5:E$83)</f>
        <v>6</v>
      </c>
      <c r="K7" s="111">
        <f t="shared" si="7"/>
        <v>16</v>
      </c>
      <c r="M7" s="112">
        <f t="shared" si="0"/>
        <v>7.3552536127898156</v>
      </c>
      <c r="N7" s="111">
        <f t="shared" si="1"/>
        <v>16</v>
      </c>
      <c r="O7" s="111">
        <f t="shared" si="2"/>
        <v>20</v>
      </c>
      <c r="P7" s="113">
        <f t="shared" si="3"/>
        <v>716.91479163015401</v>
      </c>
      <c r="Q7" s="111">
        <f t="shared" si="4"/>
        <v>17</v>
      </c>
      <c r="R7" s="112">
        <f t="shared" si="5"/>
        <v>-1.259281861273762</v>
      </c>
      <c r="S7" s="112">
        <f t="shared" ref="S7:S69" si="8">IF((I7*H$3/I$3)&gt;0,(H7-(I7*H$3/I$3))/(I7*H$3/I$3)*100,"")</f>
        <v>-5.1048457884964895</v>
      </c>
      <c r="T7" s="111">
        <f t="shared" si="6"/>
        <v>57</v>
      </c>
    </row>
    <row r="8" spans="1:24" customFormat="1" ht="14.5">
      <c r="A8" s="35">
        <v>4</v>
      </c>
      <c r="B8" s="107" t="s">
        <v>7</v>
      </c>
      <c r="C8" s="108">
        <v>129602</v>
      </c>
      <c r="D8" s="109">
        <v>98916.240063703066</v>
      </c>
      <c r="E8" s="109">
        <v>9</v>
      </c>
      <c r="F8" s="109">
        <v>635</v>
      </c>
      <c r="H8" s="110">
        <v>58.630345090000006</v>
      </c>
      <c r="I8" s="110">
        <v>57.169938569999999</v>
      </c>
      <c r="J8" s="111">
        <f t="shared" si="7"/>
        <v>21</v>
      </c>
      <c r="K8" s="111">
        <f t="shared" si="7"/>
        <v>20</v>
      </c>
      <c r="M8" s="112">
        <f t="shared" si="0"/>
        <v>6.419572757628611</v>
      </c>
      <c r="N8" s="111">
        <f t="shared" si="1"/>
        <v>23</v>
      </c>
      <c r="O8" s="111">
        <f t="shared" si="2"/>
        <v>24</v>
      </c>
      <c r="P8" s="113">
        <f t="shared" si="3"/>
        <v>592.72719072461166</v>
      </c>
      <c r="Q8" s="111">
        <f t="shared" si="4"/>
        <v>32</v>
      </c>
      <c r="R8" s="112">
        <f t="shared" si="5"/>
        <v>2.5545007682872636</v>
      </c>
      <c r="S8" s="112">
        <f t="shared" si="8"/>
        <v>-1.4395950430757332</v>
      </c>
      <c r="T8" s="111">
        <f t="shared" si="6"/>
        <v>29</v>
      </c>
      <c r="U8" s="109"/>
    </row>
    <row r="9" spans="1:24" customFormat="1" ht="14.5">
      <c r="A9" s="35">
        <v>5</v>
      </c>
      <c r="B9" s="107" t="s">
        <v>8</v>
      </c>
      <c r="C9" s="108">
        <v>42729</v>
      </c>
      <c r="D9" s="109">
        <v>33760.786246155716</v>
      </c>
      <c r="E9" s="109">
        <v>5</v>
      </c>
      <c r="F9" s="109">
        <v>213</v>
      </c>
      <c r="H9" s="110">
        <v>20.621836609999999</v>
      </c>
      <c r="I9" s="110">
        <v>19.745740010000002</v>
      </c>
      <c r="J9" s="111">
        <f t="shared" si="7"/>
        <v>37</v>
      </c>
      <c r="K9" s="111">
        <f t="shared" si="7"/>
        <v>40</v>
      </c>
      <c r="M9" s="112">
        <f t="shared" si="0"/>
        <v>6.3090947718746913</v>
      </c>
      <c r="N9" s="111">
        <f t="shared" si="1"/>
        <v>27</v>
      </c>
      <c r="O9" s="111">
        <f t="shared" si="2"/>
        <v>38</v>
      </c>
      <c r="P9" s="113">
        <f t="shared" si="3"/>
        <v>610.82216686669062</v>
      </c>
      <c r="Q9" s="111">
        <f t="shared" si="4"/>
        <v>27</v>
      </c>
      <c r="R9" s="112">
        <f t="shared" si="5"/>
        <v>4.43688916979717</v>
      </c>
      <c r="S9" s="112">
        <f t="shared" si="8"/>
        <v>0.36948170878930925</v>
      </c>
      <c r="T9" s="111">
        <f t="shared" si="6"/>
        <v>11</v>
      </c>
    </row>
    <row r="10" spans="1:24" customFormat="1" ht="14.5">
      <c r="A10" s="35">
        <v>6</v>
      </c>
      <c r="B10" s="107" t="s">
        <v>9</v>
      </c>
      <c r="C10" s="108">
        <v>60644</v>
      </c>
      <c r="D10" s="109">
        <v>45515.751422381647</v>
      </c>
      <c r="E10" s="109">
        <v>4</v>
      </c>
      <c r="F10" s="109">
        <v>238</v>
      </c>
      <c r="H10" s="110">
        <v>20.430795159999999</v>
      </c>
      <c r="I10" s="110">
        <v>19.84177919</v>
      </c>
      <c r="J10" s="111">
        <f t="shared" si="7"/>
        <v>39</v>
      </c>
      <c r="K10" s="111">
        <f t="shared" si="7"/>
        <v>36</v>
      </c>
      <c r="M10" s="112">
        <f t="shared" si="0"/>
        <v>5.2289590430219128</v>
      </c>
      <c r="N10" s="111">
        <f t="shared" si="1"/>
        <v>39</v>
      </c>
      <c r="O10" s="111">
        <f t="shared" si="2"/>
        <v>39</v>
      </c>
      <c r="P10" s="113">
        <f t="shared" si="3"/>
        <v>448.87307188239635</v>
      </c>
      <c r="Q10" s="111">
        <f t="shared" si="4"/>
        <v>42</v>
      </c>
      <c r="R10" s="112">
        <f t="shared" si="5"/>
        <v>2.9685642822638343</v>
      </c>
      <c r="S10" s="112">
        <f t="shared" si="8"/>
        <v>-1.0416576799206512</v>
      </c>
      <c r="T10" s="111">
        <f t="shared" si="6"/>
        <v>27</v>
      </c>
    </row>
    <row r="11" spans="1:24" customFormat="1" ht="14.5">
      <c r="A11" s="35">
        <v>7</v>
      </c>
      <c r="B11" s="107" t="s">
        <v>10</v>
      </c>
      <c r="C11" s="108">
        <v>104272</v>
      </c>
      <c r="D11" s="109">
        <v>78589.527629619755</v>
      </c>
      <c r="E11" s="109">
        <v>4</v>
      </c>
      <c r="F11" s="109">
        <v>138</v>
      </c>
      <c r="H11" s="110">
        <v>12.380460230000001</v>
      </c>
      <c r="I11" s="110">
        <v>13.88635315</v>
      </c>
      <c r="J11" s="111">
        <f t="shared" si="7"/>
        <v>39</v>
      </c>
      <c r="K11" s="111">
        <f t="shared" si="7"/>
        <v>47</v>
      </c>
      <c r="M11" s="112">
        <f t="shared" si="0"/>
        <v>1.7559591482770145</v>
      </c>
      <c r="N11" s="111">
        <f t="shared" si="1"/>
        <v>69</v>
      </c>
      <c r="O11" s="111">
        <f t="shared" si="2"/>
        <v>42</v>
      </c>
      <c r="P11" s="113">
        <f t="shared" si="3"/>
        <v>157.53320580252355</v>
      </c>
      <c r="Q11" s="111">
        <f t="shared" si="4"/>
        <v>66</v>
      </c>
      <c r="R11" s="112">
        <f t="shared" si="5"/>
        <v>-10.844408922439072</v>
      </c>
      <c r="S11" s="112">
        <f t="shared" si="8"/>
        <v>-14.316669722450619</v>
      </c>
      <c r="T11" s="111">
        <f t="shared" si="6"/>
        <v>79</v>
      </c>
      <c r="U11" s="109"/>
    </row>
    <row r="12" spans="1:24" customFormat="1" ht="14.5">
      <c r="A12" s="35">
        <v>8</v>
      </c>
      <c r="B12" s="107" t="s">
        <v>11</v>
      </c>
      <c r="C12" s="108">
        <v>14529</v>
      </c>
      <c r="D12" s="109">
        <v>11450.116431722403</v>
      </c>
      <c r="E12" s="109">
        <v>3</v>
      </c>
      <c r="F12" s="109">
        <v>105</v>
      </c>
      <c r="H12" s="110">
        <v>6.3072059999999999</v>
      </c>
      <c r="I12" s="110">
        <v>6.8440341</v>
      </c>
      <c r="J12" s="111">
        <f t="shared" si="7"/>
        <v>49</v>
      </c>
      <c r="K12" s="111">
        <f t="shared" si="7"/>
        <v>51</v>
      </c>
      <c r="M12" s="112">
        <f t="shared" si="0"/>
        <v>9.1702124276307639</v>
      </c>
      <c r="N12" s="111">
        <f t="shared" si="1"/>
        <v>6</v>
      </c>
      <c r="O12" s="111">
        <f t="shared" si="2"/>
        <v>56</v>
      </c>
      <c r="P12" s="113">
        <f t="shared" si="3"/>
        <v>550.84208423645066</v>
      </c>
      <c r="Q12" s="111">
        <f t="shared" si="4"/>
        <v>36</v>
      </c>
      <c r="R12" s="112">
        <f t="shared" si="5"/>
        <v>-7.8437379498153019</v>
      </c>
      <c r="S12" s="112">
        <f t="shared" si="8"/>
        <v>-11.4328631221679</v>
      </c>
      <c r="T12" s="111">
        <f t="shared" si="6"/>
        <v>77</v>
      </c>
    </row>
    <row r="13" spans="1:24" customFormat="1" ht="14.5">
      <c r="A13" s="35">
        <v>9</v>
      </c>
      <c r="B13" s="107" t="s">
        <v>12</v>
      </c>
      <c r="C13" s="108">
        <v>174537</v>
      </c>
      <c r="D13" s="109">
        <v>134215.49758078196</v>
      </c>
      <c r="E13" s="109">
        <v>4</v>
      </c>
      <c r="F13" s="109">
        <v>162</v>
      </c>
      <c r="H13" s="110">
        <v>18.805362940000002</v>
      </c>
      <c r="I13" s="110">
        <v>18.797009460000002</v>
      </c>
      <c r="J13" s="111">
        <f t="shared" si="7"/>
        <v>39</v>
      </c>
      <c r="K13" s="111">
        <f t="shared" si="7"/>
        <v>42</v>
      </c>
      <c r="M13" s="112">
        <f t="shared" si="0"/>
        <v>1.2070141147634239</v>
      </c>
      <c r="N13" s="111">
        <f t="shared" si="1"/>
        <v>70</v>
      </c>
      <c r="O13" s="111">
        <f t="shared" si="2"/>
        <v>41</v>
      </c>
      <c r="P13" s="113">
        <f t="shared" si="3"/>
        <v>140.11320062857408</v>
      </c>
      <c r="Q13" s="111">
        <f t="shared" si="4"/>
        <v>68</v>
      </c>
      <c r="R13" s="112">
        <f t="shared" si="5"/>
        <v>4.4440473458165965E-2</v>
      </c>
      <c r="S13" s="112">
        <f t="shared" si="8"/>
        <v>-3.851898328366103</v>
      </c>
      <c r="T13" s="111">
        <f t="shared" si="6"/>
        <v>45</v>
      </c>
      <c r="U13" s="109"/>
      <c r="X13" s="168"/>
    </row>
    <row r="14" spans="1:24" customFormat="1" ht="14.5">
      <c r="A14" s="35">
        <v>10</v>
      </c>
      <c r="B14" s="107" t="s">
        <v>13</v>
      </c>
      <c r="C14" s="108">
        <v>196046</v>
      </c>
      <c r="D14" s="109">
        <v>152171.13135043136</v>
      </c>
      <c r="E14" s="109">
        <v>17</v>
      </c>
      <c r="F14" s="109">
        <v>953</v>
      </c>
      <c r="H14" s="110">
        <v>171.66778249000001</v>
      </c>
      <c r="I14" s="110">
        <v>172.89589357</v>
      </c>
      <c r="J14" s="111">
        <f t="shared" si="7"/>
        <v>2</v>
      </c>
      <c r="K14" s="111">
        <f t="shared" si="7"/>
        <v>4</v>
      </c>
      <c r="M14" s="112">
        <f t="shared" si="0"/>
        <v>6.2626859085732791</v>
      </c>
      <c r="N14" s="111">
        <f t="shared" si="1"/>
        <v>29</v>
      </c>
      <c r="O14" s="111">
        <f t="shared" si="2"/>
        <v>1</v>
      </c>
      <c r="P14" s="113">
        <f t="shared" si="3"/>
        <v>1128.1231923988937</v>
      </c>
      <c r="Q14" s="111">
        <f t="shared" si="4"/>
        <v>1</v>
      </c>
      <c r="R14" s="112">
        <f t="shared" si="5"/>
        <v>-0.7103182468025292</v>
      </c>
      <c r="S14" s="112">
        <f t="shared" si="8"/>
        <v>-4.5772621549790395</v>
      </c>
      <c r="T14" s="111">
        <f t="shared" si="6"/>
        <v>52</v>
      </c>
      <c r="U14" s="109"/>
    </row>
    <row r="15" spans="1:24" customFormat="1" ht="14.5">
      <c r="A15" s="35">
        <v>11</v>
      </c>
      <c r="B15" s="107" t="s">
        <v>14</v>
      </c>
      <c r="C15" s="108">
        <v>6040</v>
      </c>
      <c r="D15" s="109">
        <v>4667.7640376256713</v>
      </c>
      <c r="E15" s="109">
        <v>0</v>
      </c>
      <c r="F15" s="109">
        <v>0</v>
      </c>
      <c r="H15" s="110">
        <v>0</v>
      </c>
      <c r="I15" s="110">
        <v>0</v>
      </c>
      <c r="J15" s="111">
        <f t="shared" si="7"/>
        <v>71</v>
      </c>
      <c r="K15" s="111">
        <f t="shared" si="7"/>
        <v>71</v>
      </c>
      <c r="M15" s="112">
        <f t="shared" si="0"/>
        <v>0</v>
      </c>
      <c r="N15" s="111">
        <f t="shared" si="1"/>
        <v>71</v>
      </c>
      <c r="O15" s="111">
        <f t="shared" si="2"/>
        <v>71</v>
      </c>
      <c r="P15" s="113">
        <f t="shared" si="3"/>
        <v>0</v>
      </c>
      <c r="Q15" s="111">
        <f t="shared" si="4"/>
        <v>71</v>
      </c>
      <c r="R15" s="112"/>
      <c r="S15" s="112">
        <v>0</v>
      </c>
      <c r="T15" s="111">
        <f t="shared" si="6"/>
        <v>13</v>
      </c>
    </row>
    <row r="16" spans="1:24" customFormat="1" ht="14.5">
      <c r="A16" s="35">
        <v>12</v>
      </c>
      <c r="B16" s="107" t="s">
        <v>15</v>
      </c>
      <c r="C16" s="108">
        <v>38299</v>
      </c>
      <c r="D16" s="109">
        <v>29232.687412736206</v>
      </c>
      <c r="E16" s="109">
        <v>4</v>
      </c>
      <c r="F16" s="109">
        <v>221</v>
      </c>
      <c r="H16" s="110">
        <v>11.094364000000001</v>
      </c>
      <c r="I16" s="110">
        <v>10.71508017</v>
      </c>
      <c r="J16" s="111">
        <f t="shared" si="7"/>
        <v>39</v>
      </c>
      <c r="K16" s="111">
        <f t="shared" si="7"/>
        <v>39</v>
      </c>
      <c r="M16" s="112">
        <f t="shared" si="0"/>
        <v>7.5600302113761151</v>
      </c>
      <c r="N16" s="111">
        <f t="shared" si="1"/>
        <v>13</v>
      </c>
      <c r="O16" s="111">
        <f t="shared" si="2"/>
        <v>44</v>
      </c>
      <c r="P16" s="113">
        <f>H16/D16*1000000</f>
        <v>379.5191267692469</v>
      </c>
      <c r="Q16" s="111">
        <f t="shared" si="4"/>
        <v>48</v>
      </c>
      <c r="R16" s="112">
        <f t="shared" si="5"/>
        <v>3.5397199459311213</v>
      </c>
      <c r="S16" s="112">
        <f t="shared" si="8"/>
        <v>-0.49274629053482977</v>
      </c>
      <c r="T16" s="111">
        <f t="shared" si="6"/>
        <v>25</v>
      </c>
    </row>
    <row r="17" spans="1:21" customFormat="1" ht="14.5">
      <c r="A17" s="35">
        <v>13</v>
      </c>
      <c r="B17" s="107" t="s">
        <v>16</v>
      </c>
      <c r="C17" s="108">
        <v>126960</v>
      </c>
      <c r="D17" s="109">
        <v>91455.568776731801</v>
      </c>
      <c r="E17" s="109">
        <v>6</v>
      </c>
      <c r="F17" s="109">
        <v>405</v>
      </c>
      <c r="H17" s="110">
        <v>36.831475249999997</v>
      </c>
      <c r="I17" s="110">
        <v>35.041656680000003</v>
      </c>
      <c r="J17" s="111">
        <f t="shared" si="7"/>
        <v>34</v>
      </c>
      <c r="K17" s="111">
        <f t="shared" si="7"/>
        <v>29</v>
      </c>
      <c r="M17" s="112">
        <f t="shared" si="0"/>
        <v>4.4283798725118242</v>
      </c>
      <c r="N17" s="111">
        <f t="shared" si="1"/>
        <v>46</v>
      </c>
      <c r="O17" s="111">
        <f t="shared" si="2"/>
        <v>30</v>
      </c>
      <c r="P17" s="113">
        <f t="shared" si="3"/>
        <v>402.72534240004296</v>
      </c>
      <c r="Q17" s="111">
        <f t="shared" si="4"/>
        <v>47</v>
      </c>
      <c r="R17" s="112">
        <f t="shared" si="5"/>
        <v>5.1076882190376915</v>
      </c>
      <c r="S17" s="112">
        <f t="shared" si="8"/>
        <v>1.0141557644628345</v>
      </c>
      <c r="T17" s="111">
        <f t="shared" si="6"/>
        <v>10</v>
      </c>
    </row>
    <row r="18" spans="1:21" customFormat="1" ht="14.5">
      <c r="A18" s="35">
        <v>14</v>
      </c>
      <c r="B18" s="107" t="s">
        <v>17</v>
      </c>
      <c r="C18" s="108">
        <v>392110</v>
      </c>
      <c r="D18" s="109">
        <v>283182.96482672356</v>
      </c>
      <c r="E18" s="109">
        <v>13</v>
      </c>
      <c r="F18" s="109">
        <v>913</v>
      </c>
      <c r="H18" s="110">
        <v>158.43528913</v>
      </c>
      <c r="I18" s="110">
        <v>159.24036325</v>
      </c>
      <c r="J18" s="111">
        <f t="shared" si="7"/>
        <v>10</v>
      </c>
      <c r="K18" s="111">
        <f t="shared" si="7"/>
        <v>7</v>
      </c>
      <c r="M18" s="112">
        <f>F18/D18*1000</f>
        <v>3.224063991838825</v>
      </c>
      <c r="N18" s="111">
        <f t="shared" si="1"/>
        <v>60</v>
      </c>
      <c r="O18" s="111">
        <f t="shared" si="2"/>
        <v>2</v>
      </c>
      <c r="P18" s="113">
        <f t="shared" si="3"/>
        <v>559.48029651764091</v>
      </c>
      <c r="Q18" s="111">
        <f t="shared" si="4"/>
        <v>34</v>
      </c>
      <c r="R18" s="112">
        <f t="shared" si="5"/>
        <v>-0.50557164249623776</v>
      </c>
      <c r="S18" s="112">
        <f t="shared" si="8"/>
        <v>-4.3804896283438763</v>
      </c>
      <c r="T18" s="111">
        <f t="shared" si="6"/>
        <v>49</v>
      </c>
    </row>
    <row r="19" spans="1:21" customFormat="1" ht="14.5">
      <c r="A19" s="35">
        <v>15</v>
      </c>
      <c r="B19" s="107" t="s">
        <v>19</v>
      </c>
      <c r="C19" s="108">
        <v>13574</v>
      </c>
      <c r="D19" s="109">
        <v>10668.056789981203</v>
      </c>
      <c r="E19" s="109">
        <v>2</v>
      </c>
      <c r="F19" s="109">
        <v>99</v>
      </c>
      <c r="H19" s="110">
        <v>8.278359</v>
      </c>
      <c r="I19" s="110">
        <v>8.5353915600000008</v>
      </c>
      <c r="J19" s="111">
        <f>RANK(E19,E$5:E$83)</f>
        <v>55</v>
      </c>
      <c r="K19" s="111">
        <f t="shared" si="7"/>
        <v>55</v>
      </c>
      <c r="M19" s="112">
        <f t="shared" si="0"/>
        <v>9.2800405874268339</v>
      </c>
      <c r="N19" s="111">
        <f t="shared" si="1"/>
        <v>5</v>
      </c>
      <c r="O19" s="111">
        <f t="shared" si="2"/>
        <v>52</v>
      </c>
      <c r="P19" s="113">
        <f t="shared" si="3"/>
        <v>775.99502542717391</v>
      </c>
      <c r="Q19" s="111">
        <f t="shared" si="4"/>
        <v>10</v>
      </c>
      <c r="R19" s="112">
        <f t="shared" si="5"/>
        <v>-3.0113739738027991</v>
      </c>
      <c r="S19" s="112">
        <f t="shared" si="8"/>
        <v>-6.7887007811005153</v>
      </c>
      <c r="T19" s="111">
        <f t="shared" si="6"/>
        <v>69</v>
      </c>
    </row>
    <row r="20" spans="1:21" customFormat="1" ht="14.5">
      <c r="A20" s="35">
        <v>16</v>
      </c>
      <c r="B20" s="107" t="s">
        <v>18</v>
      </c>
      <c r="C20" s="108">
        <v>22273</v>
      </c>
      <c r="D20" s="109">
        <v>17237.427271681732</v>
      </c>
      <c r="E20" s="109">
        <v>5</v>
      </c>
      <c r="F20" s="109">
        <v>110</v>
      </c>
      <c r="H20" s="110">
        <v>7.7233667099999996</v>
      </c>
      <c r="I20" s="110">
        <v>7.8914652099999998</v>
      </c>
      <c r="J20" s="111">
        <f t="shared" si="7"/>
        <v>37</v>
      </c>
      <c r="K20" s="111">
        <f t="shared" si="7"/>
        <v>49</v>
      </c>
      <c r="M20" s="112">
        <f t="shared" si="0"/>
        <v>6.3814627476753429</v>
      </c>
      <c r="N20" s="111">
        <f t="shared" si="1"/>
        <v>24</v>
      </c>
      <c r="O20" s="111">
        <f t="shared" si="2"/>
        <v>53</v>
      </c>
      <c r="P20" s="113">
        <f t="shared" si="3"/>
        <v>448.05797224091702</v>
      </c>
      <c r="Q20" s="111">
        <f t="shared" si="4"/>
        <v>43</v>
      </c>
      <c r="R20" s="112">
        <f t="shared" si="5"/>
        <v>-2.1301304070502285</v>
      </c>
      <c r="S20" s="112">
        <f t="shared" si="8"/>
        <v>-5.9417781969707297</v>
      </c>
      <c r="T20" s="111">
        <f t="shared" si="6"/>
        <v>62</v>
      </c>
    </row>
    <row r="21" spans="1:21" customFormat="1" ht="14.5">
      <c r="A21" s="35">
        <v>17</v>
      </c>
      <c r="B21" s="107" t="s">
        <v>34</v>
      </c>
      <c r="C21" s="108">
        <v>15948</v>
      </c>
      <c r="D21" s="109">
        <v>12293.865608237384</v>
      </c>
      <c r="E21" s="109">
        <v>2</v>
      </c>
      <c r="F21" s="109">
        <v>57</v>
      </c>
      <c r="H21" s="110">
        <v>3.7854269999999999</v>
      </c>
      <c r="I21" s="110">
        <v>3.1314392400000002</v>
      </c>
      <c r="J21" s="111">
        <f t="shared" si="7"/>
        <v>55</v>
      </c>
      <c r="K21" s="111">
        <f>RANK(F21,F$5:F$83)</f>
        <v>62</v>
      </c>
      <c r="M21" s="112">
        <f t="shared" si="0"/>
        <v>4.6364586873153808</v>
      </c>
      <c r="N21" s="111">
        <f t="shared" si="1"/>
        <v>44</v>
      </c>
      <c r="O21" s="111">
        <f t="shared" si="2"/>
        <v>61</v>
      </c>
      <c r="P21" s="113">
        <f t="shared" si="3"/>
        <v>307.91185788330176</v>
      </c>
      <c r="Q21" s="111">
        <f t="shared" si="4"/>
        <v>53</v>
      </c>
      <c r="R21" s="112">
        <f t="shared" si="5"/>
        <v>20.884574468064713</v>
      </c>
      <c r="S21" s="112">
        <f t="shared" si="8"/>
        <v>16.176594136395067</v>
      </c>
      <c r="T21" s="111">
        <f t="shared" si="6"/>
        <v>2</v>
      </c>
    </row>
    <row r="22" spans="1:21" customFormat="1" ht="14.5">
      <c r="A22" s="35">
        <v>18</v>
      </c>
      <c r="B22" s="107" t="s">
        <v>35</v>
      </c>
      <c r="C22" s="108">
        <v>155683</v>
      </c>
      <c r="D22" s="109">
        <v>124505.5537000913</v>
      </c>
      <c r="E22" s="109">
        <v>12</v>
      </c>
      <c r="F22" s="109">
        <v>744</v>
      </c>
      <c r="H22" s="110">
        <v>84.552235280000005</v>
      </c>
      <c r="I22" s="110">
        <v>85.837107129999993</v>
      </c>
      <c r="J22" s="111">
        <f t="shared" si="7"/>
        <v>12</v>
      </c>
      <c r="K22" s="111">
        <f t="shared" si="7"/>
        <v>13</v>
      </c>
      <c r="M22" s="112">
        <f t="shared" si="0"/>
        <v>5.9756370530437986</v>
      </c>
      <c r="N22" s="111">
        <f t="shared" si="1"/>
        <v>34</v>
      </c>
      <c r="O22" s="111">
        <f t="shared" si="2"/>
        <v>14</v>
      </c>
      <c r="P22" s="113">
        <f t="shared" si="3"/>
        <v>679.10412642049073</v>
      </c>
      <c r="Q22" s="111">
        <f t="shared" si="4"/>
        <v>19</v>
      </c>
      <c r="R22" s="112">
        <f t="shared" si="5"/>
        <v>-1.4968722653409716</v>
      </c>
      <c r="S22" s="112">
        <f t="shared" si="8"/>
        <v>-5.3331829776331299</v>
      </c>
      <c r="T22" s="111">
        <f t="shared" si="6"/>
        <v>58</v>
      </c>
      <c r="U22" s="109"/>
    </row>
    <row r="23" spans="1:21" customFormat="1" ht="14.5">
      <c r="A23" s="35">
        <v>19</v>
      </c>
      <c r="B23" s="107" t="s">
        <v>36</v>
      </c>
      <c r="C23" s="108">
        <v>49179</v>
      </c>
      <c r="D23" s="109">
        <v>38791.397536285949</v>
      </c>
      <c r="E23" s="109">
        <v>10</v>
      </c>
      <c r="F23" s="109">
        <v>332</v>
      </c>
      <c r="H23" s="110">
        <v>30.37735232</v>
      </c>
      <c r="I23" s="110">
        <v>30.590741449999999</v>
      </c>
      <c r="J23" s="111">
        <f t="shared" si="7"/>
        <v>17</v>
      </c>
      <c r="K23" s="111">
        <f t="shared" si="7"/>
        <v>31</v>
      </c>
      <c r="M23" s="112">
        <f t="shared" si="0"/>
        <v>8.5585985833442368</v>
      </c>
      <c r="N23" s="111">
        <f t="shared" si="1"/>
        <v>9</v>
      </c>
      <c r="O23" s="111">
        <f t="shared" si="2"/>
        <v>32</v>
      </c>
      <c r="P23" s="113">
        <f t="shared" si="3"/>
        <v>783.09507389066493</v>
      </c>
      <c r="Q23" s="111">
        <f t="shared" si="4"/>
        <v>9</v>
      </c>
      <c r="R23" s="112">
        <f t="shared" si="5"/>
        <v>-0.69756115702125121</v>
      </c>
      <c r="S23" s="112">
        <f t="shared" si="8"/>
        <v>-4.5650019038394287</v>
      </c>
      <c r="T23" s="111">
        <f t="shared" si="6"/>
        <v>50</v>
      </c>
    </row>
    <row r="24" spans="1:21" customFormat="1" ht="14.5">
      <c r="A24" s="35">
        <v>20</v>
      </c>
      <c r="B24" s="107" t="s">
        <v>37</v>
      </c>
      <c r="C24" s="108">
        <v>142826</v>
      </c>
      <c r="D24" s="109">
        <v>108674.63512144478</v>
      </c>
      <c r="E24" s="109">
        <v>9</v>
      </c>
      <c r="F24" s="109">
        <v>519</v>
      </c>
      <c r="H24" s="110">
        <v>65.795232350000006</v>
      </c>
      <c r="I24" s="110">
        <v>67.668174450000009</v>
      </c>
      <c r="J24" s="111">
        <f t="shared" si="7"/>
        <v>21</v>
      </c>
      <c r="K24" s="111">
        <f t="shared" si="7"/>
        <v>24</v>
      </c>
      <c r="M24" s="112">
        <f t="shared" si="0"/>
        <v>4.775723418992972</v>
      </c>
      <c r="N24" s="111">
        <f t="shared" si="1"/>
        <v>41</v>
      </c>
      <c r="O24" s="111">
        <f t="shared" si="2"/>
        <v>18</v>
      </c>
      <c r="P24" s="113">
        <f t="shared" si="3"/>
        <v>605.43320229668416</v>
      </c>
      <c r="Q24" s="111">
        <f t="shared" si="4"/>
        <v>28</v>
      </c>
      <c r="R24" s="112">
        <f t="shared" si="5"/>
        <v>-2.7678330547899135</v>
      </c>
      <c r="S24" s="112">
        <f t="shared" si="8"/>
        <v>-6.5546448262504704</v>
      </c>
      <c r="T24" s="111">
        <f t="shared" si="6"/>
        <v>66</v>
      </c>
      <c r="U24" s="109"/>
    </row>
    <row r="25" spans="1:21" customFormat="1" ht="14.5">
      <c r="A25" s="35">
        <v>21</v>
      </c>
      <c r="B25" s="107" t="s">
        <v>38</v>
      </c>
      <c r="C25" s="108">
        <v>10420</v>
      </c>
      <c r="D25" s="109">
        <v>8107.1908157491716</v>
      </c>
      <c r="E25" s="109">
        <v>1</v>
      </c>
      <c r="F25" s="109">
        <v>45</v>
      </c>
      <c r="H25" s="110">
        <v>2.3097310000000002</v>
      </c>
      <c r="I25" s="110">
        <v>2.3179481900000001</v>
      </c>
      <c r="J25" s="111">
        <f t="shared" si="7"/>
        <v>64</v>
      </c>
      <c r="K25" s="111">
        <f t="shared" si="7"/>
        <v>64</v>
      </c>
      <c r="M25" s="112">
        <f t="shared" si="0"/>
        <v>5.550627957662253</v>
      </c>
      <c r="N25" s="111">
        <f t="shared" si="1"/>
        <v>37</v>
      </c>
      <c r="O25" s="111">
        <f t="shared" si="2"/>
        <v>66</v>
      </c>
      <c r="P25" s="113">
        <f t="shared" si="3"/>
        <v>284.89905473953763</v>
      </c>
      <c r="Q25" s="111">
        <f t="shared" si="4"/>
        <v>55</v>
      </c>
      <c r="R25" s="112">
        <f t="shared" si="5"/>
        <v>-0.35450274667268877</v>
      </c>
      <c r="S25" s="112">
        <f t="shared" si="8"/>
        <v>-4.2353042738521705</v>
      </c>
      <c r="T25" s="111">
        <f t="shared" si="6"/>
        <v>48</v>
      </c>
    </row>
    <row r="26" spans="1:21" customFormat="1" ht="14.5">
      <c r="A26" s="35">
        <v>22</v>
      </c>
      <c r="B26" s="107" t="s">
        <v>39</v>
      </c>
      <c r="C26" s="108">
        <v>156837</v>
      </c>
      <c r="D26" s="109">
        <v>120820.88314364004</v>
      </c>
      <c r="E26" s="109">
        <v>9</v>
      </c>
      <c r="F26" s="109">
        <v>652</v>
      </c>
      <c r="H26" s="110">
        <v>71.755193090000006</v>
      </c>
      <c r="I26" s="110">
        <v>70.499276129999998</v>
      </c>
      <c r="J26" s="111">
        <f>RANK(E26,E$5:E$83)</f>
        <v>21</v>
      </c>
      <c r="K26" s="111">
        <f>RANK(F26,F$5:F$83)</f>
        <v>16</v>
      </c>
      <c r="M26" s="112">
        <f>F26/D26*1000</f>
        <v>5.3964180945843463</v>
      </c>
      <c r="N26" s="111">
        <f t="shared" si="1"/>
        <v>38</v>
      </c>
      <c r="O26" s="111">
        <f>RANK(H26,H$5:H$83)</f>
        <v>16</v>
      </c>
      <c r="P26" s="113">
        <f>H26/D26*1000000</f>
        <v>593.89727357556706</v>
      </c>
      <c r="Q26" s="111">
        <f t="shared" si="4"/>
        <v>31</v>
      </c>
      <c r="R26" s="112">
        <f>(H26-I26)/I26*100</f>
        <v>1.7814607878868265</v>
      </c>
      <c r="S26" s="112">
        <f>IF((I26*H$3/I$3)&gt;0,(H26-(I26*H$3/I$3))/(I26*H$3/I$3)*100,"")</f>
        <v>-2.1825281464049184</v>
      </c>
      <c r="T26" s="111">
        <f t="shared" si="6"/>
        <v>30</v>
      </c>
    </row>
    <row r="27" spans="1:21" customFormat="1" ht="14.5">
      <c r="A27" s="35">
        <v>23</v>
      </c>
      <c r="B27" s="107" t="s">
        <v>40</v>
      </c>
      <c r="C27" s="108">
        <v>20022</v>
      </c>
      <c r="D27" s="109">
        <v>15724.570878388125</v>
      </c>
      <c r="E27" s="109">
        <v>4</v>
      </c>
      <c r="F27" s="109">
        <v>120</v>
      </c>
      <c r="H27" s="110">
        <v>8.3203279999999999</v>
      </c>
      <c r="I27" s="110">
        <v>8.6416545399999993</v>
      </c>
      <c r="J27" s="111">
        <f t="shared" si="7"/>
        <v>39</v>
      </c>
      <c r="K27" s="111">
        <f t="shared" si="7"/>
        <v>48</v>
      </c>
      <c r="M27" s="112">
        <f t="shared" si="0"/>
        <v>7.6313688257736931</v>
      </c>
      <c r="N27" s="111">
        <f>RANK(M27,M$5:M$83)</f>
        <v>12</v>
      </c>
      <c r="O27" s="111">
        <f t="shared" si="2"/>
        <v>51</v>
      </c>
      <c r="P27" s="113">
        <f t="shared" si="3"/>
        <v>529.12909766176654</v>
      </c>
      <c r="Q27" s="111">
        <f t="shared" si="4"/>
        <v>39</v>
      </c>
      <c r="R27" s="112">
        <f t="shared" si="5"/>
        <v>-3.718345121442443</v>
      </c>
      <c r="S27" s="112">
        <f t="shared" si="8"/>
        <v>-7.4681381737280601</v>
      </c>
      <c r="T27" s="111">
        <f t="shared" si="6"/>
        <v>70</v>
      </c>
      <c r="U27" s="109"/>
    </row>
    <row r="28" spans="1:21" customFormat="1" ht="14.5">
      <c r="A28" s="35">
        <v>24</v>
      </c>
      <c r="B28" s="107" t="s">
        <v>41</v>
      </c>
      <c r="C28" s="108">
        <v>25818</v>
      </c>
      <c r="D28" s="109">
        <v>18857.423465786993</v>
      </c>
      <c r="E28" s="109">
        <v>0</v>
      </c>
      <c r="F28" s="109">
        <v>0</v>
      </c>
      <c r="H28" s="110">
        <v>0</v>
      </c>
      <c r="I28" s="110">
        <v>0</v>
      </c>
      <c r="J28" s="111">
        <f t="shared" si="7"/>
        <v>71</v>
      </c>
      <c r="K28" s="111">
        <f t="shared" si="7"/>
        <v>71</v>
      </c>
      <c r="M28" s="112">
        <f t="shared" si="0"/>
        <v>0</v>
      </c>
      <c r="N28" s="111">
        <f t="shared" si="1"/>
        <v>71</v>
      </c>
      <c r="O28" s="111">
        <f t="shared" si="2"/>
        <v>71</v>
      </c>
      <c r="P28" s="113">
        <f t="shared" si="3"/>
        <v>0</v>
      </c>
      <c r="Q28" s="111">
        <f t="shared" si="4"/>
        <v>71</v>
      </c>
      <c r="R28" s="112"/>
      <c r="S28" s="112">
        <v>0</v>
      </c>
      <c r="T28" s="111">
        <f t="shared" si="6"/>
        <v>13</v>
      </c>
    </row>
    <row r="29" spans="1:21" customFormat="1" ht="14.5">
      <c r="A29" s="35">
        <v>25</v>
      </c>
      <c r="B29" s="107" t="s">
        <v>42</v>
      </c>
      <c r="C29" s="108">
        <v>124174</v>
      </c>
      <c r="D29" s="109">
        <v>93182.001230439957</v>
      </c>
      <c r="E29" s="109">
        <v>11</v>
      </c>
      <c r="F29" s="109">
        <v>662</v>
      </c>
      <c r="H29" s="110">
        <v>58.66880226</v>
      </c>
      <c r="I29" s="110">
        <v>59.081305950000001</v>
      </c>
      <c r="J29" s="111">
        <f t="shared" si="7"/>
        <v>14</v>
      </c>
      <c r="K29" s="111">
        <f t="shared" si="7"/>
        <v>15</v>
      </c>
      <c r="M29" s="112">
        <f t="shared" si="0"/>
        <v>7.1043762878934933</v>
      </c>
      <c r="N29" s="111">
        <f t="shared" si="1"/>
        <v>20</v>
      </c>
      <c r="O29" s="111">
        <f t="shared" si="2"/>
        <v>23</v>
      </c>
      <c r="P29" s="113">
        <f t="shared" si="3"/>
        <v>629.61517766624809</v>
      </c>
      <c r="Q29" s="111">
        <f t="shared" si="4"/>
        <v>23</v>
      </c>
      <c r="R29" s="112">
        <f t="shared" si="5"/>
        <v>-0.6981966349036014</v>
      </c>
      <c r="S29" s="112">
        <f t="shared" si="8"/>
        <v>-4.5656126323492163</v>
      </c>
      <c r="T29" s="111">
        <f t="shared" si="6"/>
        <v>51</v>
      </c>
    </row>
    <row r="30" spans="1:21" customFormat="1" ht="14.5">
      <c r="A30" s="35">
        <v>26</v>
      </c>
      <c r="B30" s="107" t="s">
        <v>43</v>
      </c>
      <c r="C30" s="108">
        <v>163792</v>
      </c>
      <c r="D30" s="109">
        <v>126595.18336467464</v>
      </c>
      <c r="E30" s="109">
        <v>14</v>
      </c>
      <c r="F30" s="109">
        <v>928</v>
      </c>
      <c r="H30" s="110">
        <v>137.92317052999999</v>
      </c>
      <c r="I30" s="110">
        <v>137.39785868999999</v>
      </c>
      <c r="J30" s="111">
        <f t="shared" si="7"/>
        <v>6</v>
      </c>
      <c r="K30" s="111">
        <f t="shared" si="7"/>
        <v>5</v>
      </c>
      <c r="M30" s="112">
        <f t="shared" si="0"/>
        <v>7.3304526707526447</v>
      </c>
      <c r="N30" s="111">
        <f t="shared" si="1"/>
        <v>17</v>
      </c>
      <c r="O30" s="111">
        <f t="shared" si="2"/>
        <v>5</v>
      </c>
      <c r="P30" s="113">
        <f>H30/D30*1000000</f>
        <v>1089.4819760455937</v>
      </c>
      <c r="Q30" s="111">
        <f t="shared" si="4"/>
        <v>2</v>
      </c>
      <c r="R30" s="112">
        <f t="shared" si="5"/>
        <v>0.38232898606172633</v>
      </c>
      <c r="S30" s="112">
        <f t="shared" si="8"/>
        <v>-3.5271692488716395</v>
      </c>
      <c r="T30" s="111">
        <f t="shared" si="6"/>
        <v>39</v>
      </c>
    </row>
    <row r="31" spans="1:21" customFormat="1" ht="14.5">
      <c r="A31" s="35">
        <v>27</v>
      </c>
      <c r="B31" s="107" t="s">
        <v>44</v>
      </c>
      <c r="C31" s="108">
        <v>282809</v>
      </c>
      <c r="D31" s="109">
        <v>215778.16364262803</v>
      </c>
      <c r="E31" s="109">
        <v>25</v>
      </c>
      <c r="F31" s="109">
        <v>1345</v>
      </c>
      <c r="H31" s="110">
        <v>134.81104300000001</v>
      </c>
      <c r="I31" s="110">
        <v>134.13242984999999</v>
      </c>
      <c r="J31" s="111">
        <f t="shared" si="7"/>
        <v>1</v>
      </c>
      <c r="K31" s="111">
        <f t="shared" si="7"/>
        <v>1</v>
      </c>
      <c r="M31" s="112">
        <f t="shared" si="0"/>
        <v>6.2332535289696418</v>
      </c>
      <c r="N31" s="111">
        <f t="shared" si="1"/>
        <v>30</v>
      </c>
      <c r="O31" s="111">
        <f t="shared" si="2"/>
        <v>6</v>
      </c>
      <c r="P31" s="113">
        <f t="shared" si="3"/>
        <v>624.76684722961204</v>
      </c>
      <c r="Q31" s="111">
        <f t="shared" si="4"/>
        <v>24</v>
      </c>
      <c r="R31" s="112">
        <f t="shared" si="5"/>
        <v>0.50592772438321565</v>
      </c>
      <c r="S31" s="112">
        <f t="shared" si="8"/>
        <v>-3.4083841969249233</v>
      </c>
      <c r="T31" s="111">
        <f t="shared" si="6"/>
        <v>37</v>
      </c>
    </row>
    <row r="32" spans="1:21" customFormat="1" ht="14.5">
      <c r="A32" s="35">
        <v>28</v>
      </c>
      <c r="B32" s="107" t="s">
        <v>45</v>
      </c>
      <c r="C32" s="108">
        <v>69135</v>
      </c>
      <c r="D32" s="109">
        <v>51596.948238785546</v>
      </c>
      <c r="E32" s="109">
        <v>8</v>
      </c>
      <c r="F32" s="109">
        <v>329</v>
      </c>
      <c r="H32" s="110">
        <v>43.126080100000003</v>
      </c>
      <c r="I32" s="110">
        <v>42.728660049999995</v>
      </c>
      <c r="J32" s="111">
        <f t="shared" si="7"/>
        <v>28</v>
      </c>
      <c r="K32" s="111">
        <f t="shared" si="7"/>
        <v>32</v>
      </c>
      <c r="M32" s="112">
        <f t="shared" si="0"/>
        <v>6.3763461063127362</v>
      </c>
      <c r="N32" s="111">
        <f t="shared" si="1"/>
        <v>25</v>
      </c>
      <c r="O32" s="111">
        <f t="shared" si="2"/>
        <v>28</v>
      </c>
      <c r="P32" s="113">
        <f t="shared" si="3"/>
        <v>835.82617910688805</v>
      </c>
      <c r="Q32" s="111">
        <f t="shared" si="4"/>
        <v>7</v>
      </c>
      <c r="R32" s="112">
        <f t="shared" si="5"/>
        <v>0.93010183220104992</v>
      </c>
      <c r="S32" s="112">
        <f t="shared" si="8"/>
        <v>-3.0007300079271393</v>
      </c>
      <c r="T32" s="111">
        <f t="shared" si="6"/>
        <v>33</v>
      </c>
    </row>
    <row r="33" spans="1:21" customFormat="1" ht="14.5">
      <c r="A33" s="35">
        <v>29</v>
      </c>
      <c r="B33" s="107" t="s">
        <v>46</v>
      </c>
      <c r="C33" s="108">
        <v>16670</v>
      </c>
      <c r="D33" s="109">
        <v>13448.61967633524</v>
      </c>
      <c r="E33" s="109">
        <v>2</v>
      </c>
      <c r="F33" s="109">
        <v>57</v>
      </c>
      <c r="H33" s="110">
        <v>3.4916450000000001</v>
      </c>
      <c r="I33" s="110">
        <v>3.4717305899999999</v>
      </c>
      <c r="J33" s="111">
        <f t="shared" si="7"/>
        <v>55</v>
      </c>
      <c r="K33" s="111">
        <f t="shared" si="7"/>
        <v>62</v>
      </c>
      <c r="M33" s="112">
        <f t="shared" si="0"/>
        <v>4.2383531820964206</v>
      </c>
      <c r="N33" s="111">
        <f t="shared" si="1"/>
        <v>52</v>
      </c>
      <c r="O33" s="111">
        <f t="shared" si="2"/>
        <v>62</v>
      </c>
      <c r="P33" s="113">
        <f t="shared" si="3"/>
        <v>259.628503447387</v>
      </c>
      <c r="Q33" s="111">
        <f t="shared" si="4"/>
        <v>58</v>
      </c>
      <c r="R33" s="112">
        <f t="shared" si="5"/>
        <v>0.5736162263673853</v>
      </c>
      <c r="S33" s="112">
        <f t="shared" si="8"/>
        <v>-3.3433318967673618</v>
      </c>
      <c r="T33" s="111">
        <f t="shared" si="6"/>
        <v>36</v>
      </c>
    </row>
    <row r="34" spans="1:21" customFormat="1" ht="14.5">
      <c r="A34" s="35">
        <v>30</v>
      </c>
      <c r="B34" s="107" t="s">
        <v>47</v>
      </c>
      <c r="C34" s="108">
        <v>5559</v>
      </c>
      <c r="D34" s="109">
        <v>4303.2203890405362</v>
      </c>
      <c r="E34" s="109">
        <v>0</v>
      </c>
      <c r="F34" s="109">
        <v>0</v>
      </c>
      <c r="H34" s="110">
        <v>0</v>
      </c>
      <c r="I34" s="110">
        <v>0</v>
      </c>
      <c r="J34" s="111">
        <f t="shared" si="7"/>
        <v>71</v>
      </c>
      <c r="K34" s="111">
        <f t="shared" si="7"/>
        <v>71</v>
      </c>
      <c r="M34" s="112">
        <f t="shared" si="0"/>
        <v>0</v>
      </c>
      <c r="N34" s="111">
        <f t="shared" si="1"/>
        <v>71</v>
      </c>
      <c r="O34" s="111">
        <f t="shared" si="2"/>
        <v>71</v>
      </c>
      <c r="P34" s="113">
        <f t="shared" si="3"/>
        <v>0</v>
      </c>
      <c r="Q34" s="111">
        <f t="shared" si="4"/>
        <v>71</v>
      </c>
      <c r="R34" s="112"/>
      <c r="S34" s="112">
        <v>0</v>
      </c>
      <c r="T34" s="111">
        <f t="shared" si="6"/>
        <v>13</v>
      </c>
    </row>
    <row r="35" spans="1:21" customFormat="1" ht="14.5">
      <c r="A35" s="35">
        <v>31</v>
      </c>
      <c r="B35" s="107" t="s">
        <v>48</v>
      </c>
      <c r="C35" s="108">
        <v>93738</v>
      </c>
      <c r="D35" s="109">
        <v>71392.192549162864</v>
      </c>
      <c r="E35" s="109">
        <v>9</v>
      </c>
      <c r="F35" s="109">
        <v>535</v>
      </c>
      <c r="H35" s="110">
        <v>46.936040490000003</v>
      </c>
      <c r="I35" s="110">
        <v>47.950388969999999</v>
      </c>
      <c r="J35" s="111">
        <f t="shared" si="7"/>
        <v>21</v>
      </c>
      <c r="K35" s="111">
        <f t="shared" si="7"/>
        <v>21</v>
      </c>
      <c r="M35" s="112">
        <f t="shared" si="0"/>
        <v>7.4938166331224876</v>
      </c>
      <c r="N35" s="111">
        <f t="shared" si="1"/>
        <v>15</v>
      </c>
      <c r="O35" s="111">
        <f t="shared" si="2"/>
        <v>27</v>
      </c>
      <c r="P35" s="113">
        <f t="shared" si="3"/>
        <v>657.43940358293946</v>
      </c>
      <c r="Q35" s="111">
        <f t="shared" si="4"/>
        <v>22</v>
      </c>
      <c r="R35" s="112">
        <f t="shared" si="5"/>
        <v>-2.1154124122634732</v>
      </c>
      <c r="S35" s="112">
        <f t="shared" si="8"/>
        <v>-5.9276334103892774</v>
      </c>
      <c r="T35" s="111">
        <f t="shared" si="6"/>
        <v>61</v>
      </c>
      <c r="U35" s="109"/>
    </row>
    <row r="36" spans="1:21" customFormat="1" ht="14.5">
      <c r="A36" s="35">
        <v>32</v>
      </c>
      <c r="B36" s="107" t="s">
        <v>49</v>
      </c>
      <c r="C36" s="108">
        <v>20315</v>
      </c>
      <c r="D36" s="109">
        <v>15195.783628618497</v>
      </c>
      <c r="E36" s="109">
        <v>3</v>
      </c>
      <c r="F36" s="109">
        <v>153</v>
      </c>
      <c r="H36" s="110">
        <v>11.641002589999999</v>
      </c>
      <c r="I36" s="110">
        <v>11.66495506</v>
      </c>
      <c r="J36" s="111">
        <f t="shared" si="7"/>
        <v>49</v>
      </c>
      <c r="K36" s="111">
        <f t="shared" si="7"/>
        <v>45</v>
      </c>
      <c r="M36" s="112">
        <f t="shared" si="0"/>
        <v>10.068582426499697</v>
      </c>
      <c r="N36" s="111">
        <f t="shared" si="1"/>
        <v>2</v>
      </c>
      <c r="O36" s="111">
        <f t="shared" si="2"/>
        <v>43</v>
      </c>
      <c r="P36" s="113">
        <f t="shared" si="3"/>
        <v>766.06793532360416</v>
      </c>
      <c r="Q36" s="111">
        <f t="shared" si="4"/>
        <v>13</v>
      </c>
      <c r="R36" s="112">
        <f t="shared" si="5"/>
        <v>-0.20533701053110712</v>
      </c>
      <c r="S36" s="112">
        <f t="shared" si="8"/>
        <v>-4.0919479584328187</v>
      </c>
      <c r="T36" s="111">
        <f t="shared" si="6"/>
        <v>47</v>
      </c>
    </row>
    <row r="37" spans="1:21" customFormat="1" ht="14.5">
      <c r="A37" s="35">
        <v>33</v>
      </c>
      <c r="B37" s="107" t="s">
        <v>50</v>
      </c>
      <c r="C37" s="108">
        <v>262764</v>
      </c>
      <c r="D37" s="109">
        <v>190905.93567803327</v>
      </c>
      <c r="E37" s="109">
        <v>14</v>
      </c>
      <c r="F37" s="109">
        <v>833</v>
      </c>
      <c r="H37" s="110">
        <v>138.01629480000003</v>
      </c>
      <c r="I37" s="110">
        <v>139.03085181</v>
      </c>
      <c r="J37" s="111">
        <f t="shared" si="7"/>
        <v>6</v>
      </c>
      <c r="K37" s="111">
        <f t="shared" si="7"/>
        <v>8</v>
      </c>
      <c r="M37" s="112">
        <f t="shared" si="0"/>
        <v>4.363405449083948</v>
      </c>
      <c r="N37" s="111">
        <f t="shared" si="1"/>
        <v>49</v>
      </c>
      <c r="O37" s="111">
        <f t="shared" si="2"/>
        <v>4</v>
      </c>
      <c r="P37" s="113">
        <f t="shared" si="3"/>
        <v>722.95444512928759</v>
      </c>
      <c r="Q37" s="111">
        <f t="shared" si="4"/>
        <v>15</v>
      </c>
      <c r="R37" s="112">
        <f t="shared" si="5"/>
        <v>-0.72973516078752987</v>
      </c>
      <c r="S37" s="112">
        <f t="shared" si="8"/>
        <v>-4.5959228562748207</v>
      </c>
      <c r="T37" s="111">
        <f t="shared" ref="T37:T68" si="9">RANK($S37,$S$5:$S$83)</f>
        <v>54</v>
      </c>
      <c r="U37" s="109"/>
    </row>
    <row r="38" spans="1:21" customFormat="1" ht="14.5">
      <c r="A38" s="35">
        <v>34</v>
      </c>
      <c r="B38" s="107" t="s">
        <v>51</v>
      </c>
      <c r="C38" s="108">
        <v>17662</v>
      </c>
      <c r="D38" s="109">
        <v>13591.686124720589</v>
      </c>
      <c r="E38" s="109">
        <v>0</v>
      </c>
      <c r="F38" s="109">
        <v>0</v>
      </c>
      <c r="H38" s="110">
        <v>0</v>
      </c>
      <c r="I38" s="110">
        <v>0</v>
      </c>
      <c r="J38" s="111">
        <f t="shared" si="7"/>
        <v>71</v>
      </c>
      <c r="K38" s="111">
        <f t="shared" si="7"/>
        <v>71</v>
      </c>
      <c r="M38" s="112">
        <f t="shared" si="0"/>
        <v>0</v>
      </c>
      <c r="N38" s="111">
        <f t="shared" si="1"/>
        <v>71</v>
      </c>
      <c r="O38" s="111">
        <f t="shared" si="2"/>
        <v>71</v>
      </c>
      <c r="P38" s="113">
        <f t="shared" si="3"/>
        <v>0</v>
      </c>
      <c r="Q38" s="111">
        <f t="shared" si="4"/>
        <v>71</v>
      </c>
      <c r="R38" s="112"/>
      <c r="S38" s="112">
        <v>0</v>
      </c>
      <c r="T38" s="111">
        <f t="shared" si="9"/>
        <v>13</v>
      </c>
    </row>
    <row r="39" spans="1:21" customFormat="1" ht="14.5">
      <c r="A39" s="35">
        <v>35</v>
      </c>
      <c r="B39" s="107" t="s">
        <v>52</v>
      </c>
      <c r="C39" s="108">
        <v>163724</v>
      </c>
      <c r="D39" s="109">
        <v>125953.25521652162</v>
      </c>
      <c r="E39" s="109">
        <v>16</v>
      </c>
      <c r="F39" s="109">
        <v>918</v>
      </c>
      <c r="H39" s="110">
        <v>86.299825290000001</v>
      </c>
      <c r="I39" s="110">
        <v>86.005189189999996</v>
      </c>
      <c r="J39" s="111">
        <f t="shared" si="7"/>
        <v>4</v>
      </c>
      <c r="K39" s="111">
        <f t="shared" si="7"/>
        <v>6</v>
      </c>
      <c r="M39" s="112">
        <f t="shared" si="0"/>
        <v>7.2884182185041579</v>
      </c>
      <c r="N39" s="111">
        <f t="shared" si="1"/>
        <v>18</v>
      </c>
      <c r="O39" s="111">
        <f t="shared" si="2"/>
        <v>12</v>
      </c>
      <c r="P39" s="113">
        <f t="shared" si="3"/>
        <v>685.1734410646643</v>
      </c>
      <c r="Q39" s="111">
        <f t="shared" si="4"/>
        <v>18</v>
      </c>
      <c r="R39" s="112">
        <f t="shared" si="5"/>
        <v>0.34257944523452455</v>
      </c>
      <c r="S39" s="112">
        <f t="shared" si="8"/>
        <v>-3.5653707008940403</v>
      </c>
      <c r="T39" s="111">
        <f t="shared" si="9"/>
        <v>40</v>
      </c>
      <c r="U39" s="109"/>
    </row>
    <row r="40" spans="1:21" customFormat="1" ht="14.5">
      <c r="A40" s="35">
        <v>36</v>
      </c>
      <c r="B40" s="107" t="s">
        <v>53</v>
      </c>
      <c r="C40" s="108">
        <v>161766</v>
      </c>
      <c r="D40" s="109">
        <v>124760.93530747585</v>
      </c>
      <c r="E40" s="109">
        <v>11</v>
      </c>
      <c r="F40" s="109">
        <v>771</v>
      </c>
      <c r="H40" s="110">
        <v>76.623268159999995</v>
      </c>
      <c r="I40" s="110">
        <v>78.302496930000004</v>
      </c>
      <c r="J40" s="111">
        <f t="shared" si="7"/>
        <v>14</v>
      </c>
      <c r="K40" s="111">
        <f t="shared" si="7"/>
        <v>10</v>
      </c>
      <c r="M40" s="112">
        <f t="shared" si="0"/>
        <v>6.1798190122561589</v>
      </c>
      <c r="N40" s="111">
        <f t="shared" si="1"/>
        <v>31</v>
      </c>
      <c r="O40" s="111">
        <f t="shared" si="2"/>
        <v>15</v>
      </c>
      <c r="P40" s="113">
        <f t="shared" si="3"/>
        <v>614.16073846481186</v>
      </c>
      <c r="Q40" s="111">
        <f t="shared" si="4"/>
        <v>25</v>
      </c>
      <c r="R40" s="112">
        <f t="shared" si="5"/>
        <v>-2.1445405138244658</v>
      </c>
      <c r="S40" s="112">
        <f t="shared" si="8"/>
        <v>-5.9556270865709102</v>
      </c>
      <c r="T40" s="111">
        <f t="shared" si="9"/>
        <v>63</v>
      </c>
      <c r="U40" s="109"/>
    </row>
    <row r="41" spans="1:21" customFormat="1" ht="14.5">
      <c r="A41" s="35">
        <v>37</v>
      </c>
      <c r="B41" s="107" t="s">
        <v>54</v>
      </c>
      <c r="C41" s="108">
        <v>78154</v>
      </c>
      <c r="D41" s="109">
        <v>59776.878405235089</v>
      </c>
      <c r="E41" s="109">
        <v>13</v>
      </c>
      <c r="F41" s="109">
        <v>522</v>
      </c>
      <c r="H41" s="110">
        <v>49.584137640000002</v>
      </c>
      <c r="I41" s="110">
        <v>49.944157130000001</v>
      </c>
      <c r="J41" s="111">
        <f t="shared" si="7"/>
        <v>10</v>
      </c>
      <c r="K41" s="111">
        <f t="shared" si="7"/>
        <v>23</v>
      </c>
      <c r="M41" s="112">
        <f t="shared" si="0"/>
        <v>8.7324733898163007</v>
      </c>
      <c r="N41" s="111">
        <f t="shared" si="1"/>
        <v>8</v>
      </c>
      <c r="O41" s="111">
        <f t="shared" si="2"/>
        <v>26</v>
      </c>
      <c r="P41" s="113">
        <f t="shared" si="3"/>
        <v>829.486901337718</v>
      </c>
      <c r="Q41" s="111">
        <f t="shared" si="4"/>
        <v>8</v>
      </c>
      <c r="R41" s="112">
        <f t="shared" si="5"/>
        <v>-0.72084406002268053</v>
      </c>
      <c r="S41" s="112">
        <f t="shared" si="8"/>
        <v>-4.5873780290333785</v>
      </c>
      <c r="T41" s="111">
        <f t="shared" si="9"/>
        <v>53</v>
      </c>
    </row>
    <row r="42" spans="1:21" customFormat="1" ht="14.5">
      <c r="A42" s="35">
        <v>38</v>
      </c>
      <c r="B42" s="107" t="s">
        <v>55</v>
      </c>
      <c r="C42" s="108">
        <v>7747</v>
      </c>
      <c r="D42" s="109">
        <v>6070.6562226381029</v>
      </c>
      <c r="E42" s="109">
        <v>0</v>
      </c>
      <c r="F42" s="109">
        <v>0</v>
      </c>
      <c r="H42" s="110">
        <v>0</v>
      </c>
      <c r="I42" s="110">
        <v>0</v>
      </c>
      <c r="J42" s="111">
        <f t="shared" si="7"/>
        <v>71</v>
      </c>
      <c r="K42" s="111">
        <f t="shared" si="7"/>
        <v>71</v>
      </c>
      <c r="M42" s="112">
        <f t="shared" si="0"/>
        <v>0</v>
      </c>
      <c r="N42" s="111">
        <f t="shared" si="1"/>
        <v>71</v>
      </c>
      <c r="O42" s="111">
        <f t="shared" si="2"/>
        <v>71</v>
      </c>
      <c r="P42" s="113">
        <f t="shared" si="3"/>
        <v>0</v>
      </c>
      <c r="Q42" s="111">
        <f t="shared" si="4"/>
        <v>71</v>
      </c>
      <c r="R42" s="112"/>
      <c r="S42" s="112">
        <v>0</v>
      </c>
      <c r="T42" s="111">
        <f t="shared" si="9"/>
        <v>13</v>
      </c>
    </row>
    <row r="43" spans="1:21" customFormat="1" ht="14.5">
      <c r="A43" s="35">
        <v>39</v>
      </c>
      <c r="B43" s="107" t="s">
        <v>56</v>
      </c>
      <c r="C43" s="108">
        <v>52920</v>
      </c>
      <c r="D43" s="109">
        <v>39482.313677069076</v>
      </c>
      <c r="E43" s="109">
        <v>3</v>
      </c>
      <c r="F43" s="109">
        <v>103</v>
      </c>
      <c r="H43" s="110">
        <v>9.6958832799999985</v>
      </c>
      <c r="I43" s="110">
        <v>9.0897310399999984</v>
      </c>
      <c r="J43" s="111">
        <f t="shared" si="7"/>
        <v>49</v>
      </c>
      <c r="K43" s="111">
        <f t="shared" si="7"/>
        <v>53</v>
      </c>
      <c r="M43" s="112">
        <f t="shared" si="0"/>
        <v>2.6087630234248746</v>
      </c>
      <c r="N43" s="111">
        <f t="shared" si="1"/>
        <v>63</v>
      </c>
      <c r="O43" s="111">
        <f t="shared" si="2"/>
        <v>48</v>
      </c>
      <c r="P43" s="113">
        <f t="shared" si="3"/>
        <v>245.57535709036395</v>
      </c>
      <c r="Q43" s="111">
        <f t="shared" si="4"/>
        <v>61</v>
      </c>
      <c r="R43" s="112">
        <f t="shared" si="5"/>
        <v>6.6685387865997869</v>
      </c>
      <c r="S43" s="112">
        <f t="shared" si="8"/>
        <v>2.5142173206469787</v>
      </c>
      <c r="T43" s="111">
        <f t="shared" si="9"/>
        <v>8</v>
      </c>
    </row>
    <row r="44" spans="1:21" customFormat="1" ht="14.5">
      <c r="A44" s="35">
        <v>40</v>
      </c>
      <c r="B44" s="107" t="s">
        <v>57</v>
      </c>
      <c r="C44" s="108">
        <v>129514</v>
      </c>
      <c r="D44" s="109">
        <v>98825.869314938362</v>
      </c>
      <c r="E44" s="109">
        <v>6</v>
      </c>
      <c r="F44" s="109">
        <v>462</v>
      </c>
      <c r="H44" s="110">
        <v>58.047020799999999</v>
      </c>
      <c r="I44" s="110">
        <v>60.358350799999997</v>
      </c>
      <c r="J44" s="111">
        <f t="shared" si="7"/>
        <v>34</v>
      </c>
      <c r="K44" s="111">
        <f t="shared" si="7"/>
        <v>26</v>
      </c>
      <c r="M44" s="112">
        <f t="shared" si="0"/>
        <v>4.6748893098799673</v>
      </c>
      <c r="N44" s="111">
        <f t="shared" si="1"/>
        <v>43</v>
      </c>
      <c r="O44" s="111">
        <f t="shared" si="2"/>
        <v>25</v>
      </c>
      <c r="P44" s="113">
        <f t="shared" si="3"/>
        <v>587.36666019112567</v>
      </c>
      <c r="Q44" s="111">
        <f t="shared" si="4"/>
        <v>33</v>
      </c>
      <c r="R44" s="112">
        <f t="shared" si="5"/>
        <v>-3.8293458475343205</v>
      </c>
      <c r="S44" s="112">
        <f t="shared" si="8"/>
        <v>-7.574815856639777</v>
      </c>
      <c r="T44" s="111">
        <f t="shared" si="9"/>
        <v>71</v>
      </c>
      <c r="U44" s="109"/>
    </row>
    <row r="45" spans="1:21" customFormat="1" ht="14.5">
      <c r="A45" s="35">
        <v>41</v>
      </c>
      <c r="B45" s="107" t="s">
        <v>58</v>
      </c>
      <c r="C45" s="108">
        <v>10546</v>
      </c>
      <c r="D45" s="109">
        <v>8139.8840895514122</v>
      </c>
      <c r="E45" s="109">
        <v>1</v>
      </c>
      <c r="F45" s="109">
        <v>40</v>
      </c>
      <c r="H45" s="110">
        <v>1.6528290000000001</v>
      </c>
      <c r="I45" s="110">
        <v>1.74587388</v>
      </c>
      <c r="J45" s="111">
        <f t="shared" si="7"/>
        <v>64</v>
      </c>
      <c r="K45" s="111">
        <f t="shared" si="7"/>
        <v>65</v>
      </c>
      <c r="M45" s="112">
        <f t="shared" si="0"/>
        <v>4.9140748885288357</v>
      </c>
      <c r="N45" s="111">
        <f t="shared" si="1"/>
        <v>40</v>
      </c>
      <c r="O45" s="111">
        <f t="shared" si="2"/>
        <v>67</v>
      </c>
      <c r="P45" s="113">
        <f t="shared" si="3"/>
        <v>203.05313709830568</v>
      </c>
      <c r="Q45" s="111">
        <f t="shared" si="4"/>
        <v>63</v>
      </c>
      <c r="R45" s="112">
        <f t="shared" si="5"/>
        <v>-5.3294158911409966</v>
      </c>
      <c r="S45" s="112">
        <f t="shared" si="8"/>
        <v>-9.016464052028816</v>
      </c>
      <c r="T45" s="111">
        <f t="shared" si="9"/>
        <v>75</v>
      </c>
    </row>
    <row r="46" spans="1:21" customFormat="1" ht="14.5">
      <c r="A46" s="35">
        <v>42</v>
      </c>
      <c r="B46" s="107" t="s">
        <v>59</v>
      </c>
      <c r="C46" s="108">
        <v>91762</v>
      </c>
      <c r="D46" s="109">
        <v>74179.246945437306</v>
      </c>
      <c r="E46" s="109">
        <v>9</v>
      </c>
      <c r="F46" s="109">
        <v>471</v>
      </c>
      <c r="H46" s="110">
        <v>66.253194450000009</v>
      </c>
      <c r="I46" s="110">
        <v>66.11949654</v>
      </c>
      <c r="J46" s="111">
        <f t="shared" si="7"/>
        <v>21</v>
      </c>
      <c r="K46" s="111">
        <f t="shared" si="7"/>
        <v>25</v>
      </c>
      <c r="M46" s="112">
        <f t="shared" si="0"/>
        <v>6.3494847871190307</v>
      </c>
      <c r="N46" s="111">
        <f t="shared" si="1"/>
        <v>26</v>
      </c>
      <c r="O46" s="111">
        <f t="shared" si="2"/>
        <v>17</v>
      </c>
      <c r="P46" s="113">
        <f t="shared" si="3"/>
        <v>893.15000054843745</v>
      </c>
      <c r="Q46" s="111">
        <f t="shared" si="4"/>
        <v>3</v>
      </c>
      <c r="R46" s="112">
        <f t="shared" si="5"/>
        <v>0.20220648522199003</v>
      </c>
      <c r="S46" s="112">
        <f t="shared" si="8"/>
        <v>-3.7002766843485921</v>
      </c>
      <c r="T46" s="111">
        <f t="shared" si="9"/>
        <v>43</v>
      </c>
      <c r="U46" s="109"/>
    </row>
    <row r="47" spans="1:21" customFormat="1" ht="14.5">
      <c r="A47" s="35">
        <v>43</v>
      </c>
      <c r="B47" s="107" t="s">
        <v>60</v>
      </c>
      <c r="C47" s="108">
        <v>117434</v>
      </c>
      <c r="D47" s="109">
        <v>89023.445225001604</v>
      </c>
      <c r="E47" s="109">
        <v>9</v>
      </c>
      <c r="F47" s="109">
        <v>640</v>
      </c>
      <c r="H47" s="110">
        <v>63.9686424</v>
      </c>
      <c r="I47" s="110">
        <v>62.28376815</v>
      </c>
      <c r="J47" s="111">
        <f t="shared" si="7"/>
        <v>21</v>
      </c>
      <c r="K47" s="111">
        <f t="shared" si="7"/>
        <v>18</v>
      </c>
      <c r="M47" s="112">
        <f t="shared" si="0"/>
        <v>7.1891174103904545</v>
      </c>
      <c r="N47" s="111">
        <f t="shared" si="1"/>
        <v>19</v>
      </c>
      <c r="O47" s="111">
        <f t="shared" si="2"/>
        <v>19</v>
      </c>
      <c r="P47" s="113">
        <f t="shared" si="3"/>
        <v>718.55950124512663</v>
      </c>
      <c r="Q47" s="111">
        <f t="shared" si="4"/>
        <v>16</v>
      </c>
      <c r="R47" s="112">
        <f t="shared" si="5"/>
        <v>2.7051578606199023</v>
      </c>
      <c r="S47" s="112">
        <f t="shared" si="8"/>
        <v>-1.2948054539431442</v>
      </c>
      <c r="T47" s="111">
        <f t="shared" si="9"/>
        <v>28</v>
      </c>
      <c r="U47" s="109"/>
    </row>
    <row r="48" spans="1:21" customFormat="1" ht="14.5">
      <c r="A48" s="35">
        <v>44</v>
      </c>
      <c r="B48" s="107" t="s">
        <v>61</v>
      </c>
      <c r="C48" s="108">
        <v>177396</v>
      </c>
      <c r="D48" s="109">
        <v>158793.89204256129</v>
      </c>
      <c r="E48" s="109">
        <v>10</v>
      </c>
      <c r="F48" s="109">
        <v>752</v>
      </c>
      <c r="H48" s="110">
        <v>95.137726950000001</v>
      </c>
      <c r="I48" s="110">
        <v>86.325377169999996</v>
      </c>
      <c r="J48" s="111">
        <f t="shared" si="7"/>
        <v>17</v>
      </c>
      <c r="K48" s="111">
        <f t="shared" si="7"/>
        <v>11</v>
      </c>
      <c r="M48" s="112">
        <f t="shared" si="0"/>
        <v>4.7356985229535313</v>
      </c>
      <c r="N48" s="111">
        <f t="shared" si="1"/>
        <v>42</v>
      </c>
      <c r="O48" s="111">
        <f t="shared" si="2"/>
        <v>9</v>
      </c>
      <c r="P48" s="113">
        <f t="shared" si="3"/>
        <v>599.127118343446</v>
      </c>
      <c r="Q48" s="111">
        <f t="shared" si="4"/>
        <v>30</v>
      </c>
      <c r="R48" s="112">
        <f t="shared" si="5"/>
        <v>10.208295716618652</v>
      </c>
      <c r="S48" s="112">
        <f t="shared" si="8"/>
        <v>5.9161145933956476</v>
      </c>
      <c r="T48" s="111">
        <f t="shared" si="9"/>
        <v>4</v>
      </c>
      <c r="U48" s="109"/>
    </row>
    <row r="49" spans="1:21" customFormat="1" ht="14.5">
      <c r="A49" s="35">
        <v>45</v>
      </c>
      <c r="B49" s="107" t="s">
        <v>62</v>
      </c>
      <c r="C49" s="108">
        <v>206070</v>
      </c>
      <c r="D49" s="109">
        <v>147035.22474178043</v>
      </c>
      <c r="E49" s="109">
        <v>7</v>
      </c>
      <c r="F49" s="109">
        <v>523</v>
      </c>
      <c r="H49" s="110">
        <v>90.271752750000005</v>
      </c>
      <c r="I49" s="110">
        <v>86.742697919999998</v>
      </c>
      <c r="J49" s="111">
        <f t="shared" si="7"/>
        <v>31</v>
      </c>
      <c r="K49" s="111">
        <f t="shared" si="7"/>
        <v>22</v>
      </c>
      <c r="M49" s="112">
        <f t="shared" si="0"/>
        <v>3.5569707933488695</v>
      </c>
      <c r="N49" s="111">
        <f t="shared" si="1"/>
        <v>57</v>
      </c>
      <c r="O49" s="111">
        <f t="shared" si="2"/>
        <v>10</v>
      </c>
      <c r="P49" s="113">
        <f t="shared" si="3"/>
        <v>613.94643976321311</v>
      </c>
      <c r="Q49" s="111">
        <f t="shared" si="4"/>
        <v>26</v>
      </c>
      <c r="R49" s="112">
        <f t="shared" si="5"/>
        <v>4.0684171862566929</v>
      </c>
      <c r="S49" s="112">
        <f t="shared" si="8"/>
        <v>1.5360264669712466E-2</v>
      </c>
      <c r="T49" s="111">
        <f t="shared" si="9"/>
        <v>12</v>
      </c>
      <c r="U49" s="109"/>
    </row>
    <row r="50" spans="1:21" customFormat="1" ht="14.5">
      <c r="A50" s="35">
        <v>46</v>
      </c>
      <c r="B50" s="107" t="s">
        <v>63</v>
      </c>
      <c r="C50" s="108">
        <v>57554</v>
      </c>
      <c r="D50" s="109">
        <v>43430.506948459886</v>
      </c>
      <c r="E50" s="109">
        <v>8</v>
      </c>
      <c r="F50" s="109">
        <v>281</v>
      </c>
      <c r="H50" s="110">
        <v>36.959276600000003</v>
      </c>
      <c r="I50" s="110">
        <v>38.482548469999998</v>
      </c>
      <c r="J50" s="111">
        <f t="shared" si="7"/>
        <v>28</v>
      </c>
      <c r="K50" s="111">
        <f t="shared" si="7"/>
        <v>35</v>
      </c>
      <c r="M50" s="112">
        <f t="shared" si="0"/>
        <v>6.4701063778387393</v>
      </c>
      <c r="N50" s="111">
        <f t="shared" si="1"/>
        <v>22</v>
      </c>
      <c r="O50" s="111">
        <f t="shared" si="2"/>
        <v>29</v>
      </c>
      <c r="P50" s="113">
        <f t="shared" si="3"/>
        <v>850.99804715290429</v>
      </c>
      <c r="Q50" s="111">
        <f t="shared" si="4"/>
        <v>5</v>
      </c>
      <c r="R50" s="112">
        <f t="shared" si="5"/>
        <v>-3.9583445758211635</v>
      </c>
      <c r="S50" s="112">
        <f t="shared" si="8"/>
        <v>-7.6987905901096054</v>
      </c>
      <c r="T50" s="111">
        <f t="shared" si="9"/>
        <v>72</v>
      </c>
    </row>
    <row r="51" spans="1:21" customFormat="1" ht="14.5">
      <c r="A51" s="35">
        <v>47</v>
      </c>
      <c r="B51" s="107" t="s">
        <v>64</v>
      </c>
      <c r="C51" s="108">
        <v>53723</v>
      </c>
      <c r="D51" s="109">
        <v>39737.150545859862</v>
      </c>
      <c r="E51" s="109">
        <v>4</v>
      </c>
      <c r="F51" s="109">
        <v>224</v>
      </c>
      <c r="H51" s="110">
        <v>22.222664999999999</v>
      </c>
      <c r="I51" s="110">
        <v>20.75170044</v>
      </c>
      <c r="J51" s="111">
        <f t="shared" si="7"/>
        <v>39</v>
      </c>
      <c r="K51" s="111">
        <f t="shared" si="7"/>
        <v>38</v>
      </c>
      <c r="M51" s="112">
        <f t="shared" si="0"/>
        <v>5.6370423375346457</v>
      </c>
      <c r="N51" s="111">
        <f t="shared" si="1"/>
        <v>35</v>
      </c>
      <c r="O51" s="111">
        <f t="shared" si="2"/>
        <v>37</v>
      </c>
      <c r="P51" s="113">
        <f t="shared" si="3"/>
        <v>559.24153329397029</v>
      </c>
      <c r="Q51" s="111">
        <f t="shared" si="4"/>
        <v>35</v>
      </c>
      <c r="R51" s="112">
        <f t="shared" si="5"/>
        <v>7.0884049442263386</v>
      </c>
      <c r="S51" s="112">
        <f t="shared" si="8"/>
        <v>2.9177313372271132</v>
      </c>
      <c r="T51" s="111">
        <f t="shared" si="9"/>
        <v>7</v>
      </c>
    </row>
    <row r="52" spans="1:21" customFormat="1" ht="14.5">
      <c r="A52" s="35">
        <v>48</v>
      </c>
      <c r="B52" s="107" t="s">
        <v>65</v>
      </c>
      <c r="C52" s="108">
        <v>30775</v>
      </c>
      <c r="D52" s="109">
        <v>23640.078575058604</v>
      </c>
      <c r="E52" s="109">
        <v>2</v>
      </c>
      <c r="F52" s="109">
        <v>103</v>
      </c>
      <c r="H52" s="110">
        <v>6.1378256500000008</v>
      </c>
      <c r="I52" s="110">
        <v>5.6287625199999995</v>
      </c>
      <c r="J52" s="111">
        <f t="shared" si="7"/>
        <v>55</v>
      </c>
      <c r="K52" s="111">
        <f t="shared" si="7"/>
        <v>53</v>
      </c>
      <c r="M52" s="112">
        <f t="shared" si="0"/>
        <v>4.3570075147157015</v>
      </c>
      <c r="N52" s="111">
        <f t="shared" si="1"/>
        <v>50</v>
      </c>
      <c r="O52" s="111">
        <f t="shared" si="2"/>
        <v>58</v>
      </c>
      <c r="P52" s="113">
        <f t="shared" si="3"/>
        <v>259.63643185499797</v>
      </c>
      <c r="Q52" s="111">
        <f t="shared" si="4"/>
        <v>57</v>
      </c>
      <c r="R52" s="112">
        <f t="shared" si="5"/>
        <v>9.0439617623093707</v>
      </c>
      <c r="S52" s="112">
        <f t="shared" si="8"/>
        <v>4.7971268826456148</v>
      </c>
      <c r="T52" s="111">
        <f t="shared" si="9"/>
        <v>5</v>
      </c>
    </row>
    <row r="53" spans="1:21" customFormat="1" ht="14.5">
      <c r="A53" s="35">
        <v>49</v>
      </c>
      <c r="B53" s="107" t="s">
        <v>66</v>
      </c>
      <c r="C53" s="108">
        <v>203560</v>
      </c>
      <c r="D53" s="109">
        <v>157766.93768491701</v>
      </c>
      <c r="E53" s="109">
        <v>15</v>
      </c>
      <c r="F53" s="109">
        <v>955</v>
      </c>
      <c r="H53" s="110">
        <v>121.41768802</v>
      </c>
      <c r="I53" s="110">
        <v>122.50082252</v>
      </c>
      <c r="J53" s="111">
        <f t="shared" si="7"/>
        <v>5</v>
      </c>
      <c r="K53" s="111">
        <f t="shared" si="7"/>
        <v>3</v>
      </c>
      <c r="M53" s="112">
        <f t="shared" si="0"/>
        <v>6.0532327876406571</v>
      </c>
      <c r="N53" s="111">
        <f t="shared" si="1"/>
        <v>32</v>
      </c>
      <c r="O53" s="111">
        <f t="shared" si="2"/>
        <v>8</v>
      </c>
      <c r="P53" s="113">
        <f t="shared" si="3"/>
        <v>769.60160222218656</v>
      </c>
      <c r="Q53" s="111">
        <f t="shared" si="4"/>
        <v>12</v>
      </c>
      <c r="R53" s="112">
        <f t="shared" si="5"/>
        <v>-0.88418549175305561</v>
      </c>
      <c r="S53" s="112">
        <f t="shared" si="8"/>
        <v>-4.7443579522642887</v>
      </c>
      <c r="T53" s="111">
        <f t="shared" si="9"/>
        <v>55</v>
      </c>
      <c r="U53" s="109"/>
    </row>
    <row r="54" spans="1:21" customFormat="1" ht="14.5">
      <c r="A54" s="35">
        <v>50</v>
      </c>
      <c r="B54" s="107" t="s">
        <v>67</v>
      </c>
      <c r="C54" s="108">
        <v>126486</v>
      </c>
      <c r="D54" s="109">
        <v>99055.533160525898</v>
      </c>
      <c r="E54" s="109">
        <v>11</v>
      </c>
      <c r="F54" s="109">
        <v>746</v>
      </c>
      <c r="H54" s="110">
        <v>85.434267050000003</v>
      </c>
      <c r="I54" s="110">
        <v>85.197625770000002</v>
      </c>
      <c r="J54" s="111">
        <f t="shared" si="7"/>
        <v>14</v>
      </c>
      <c r="K54" s="111">
        <f t="shared" si="7"/>
        <v>12</v>
      </c>
      <c r="M54" s="112">
        <f t="shared" si="0"/>
        <v>7.5311290161959832</v>
      </c>
      <c r="N54" s="111">
        <f t="shared" si="1"/>
        <v>14</v>
      </c>
      <c r="O54" s="111">
        <f t="shared" si="2"/>
        <v>13</v>
      </c>
      <c r="P54" s="113">
        <f t="shared" si="3"/>
        <v>862.48858921942553</v>
      </c>
      <c r="Q54" s="111">
        <f t="shared" si="4"/>
        <v>4</v>
      </c>
      <c r="R54" s="112">
        <f t="shared" si="5"/>
        <v>0.27775572131415821</v>
      </c>
      <c r="S54" s="112">
        <f t="shared" si="8"/>
        <v>-3.6276697948640044</v>
      </c>
      <c r="T54" s="111">
        <f t="shared" si="9"/>
        <v>41</v>
      </c>
      <c r="U54" s="109"/>
    </row>
    <row r="55" spans="1:21" customFormat="1" ht="14.5">
      <c r="A55" s="35">
        <v>51</v>
      </c>
      <c r="B55" s="107" t="s">
        <v>68</v>
      </c>
      <c r="C55" s="108">
        <v>39092</v>
      </c>
      <c r="D55" s="109">
        <v>29157.314469937446</v>
      </c>
      <c r="E55" s="109">
        <v>3</v>
      </c>
      <c r="F55" s="109">
        <v>110</v>
      </c>
      <c r="H55" s="110">
        <v>10.391902999999999</v>
      </c>
      <c r="I55" s="110">
        <v>11.037347539999999</v>
      </c>
      <c r="J55" s="111">
        <f t="shared" si="7"/>
        <v>49</v>
      </c>
      <c r="K55" s="111">
        <f t="shared" si="7"/>
        <v>49</v>
      </c>
      <c r="M55" s="112">
        <f t="shared" si="0"/>
        <v>3.7726382556053006</v>
      </c>
      <c r="N55" s="111">
        <f t="shared" si="1"/>
        <v>55</v>
      </c>
      <c r="O55" s="111">
        <f t="shared" si="2"/>
        <v>47</v>
      </c>
      <c r="P55" s="113">
        <f t="shared" si="3"/>
        <v>356.40809823944988</v>
      </c>
      <c r="Q55" s="111">
        <f t="shared" si="4"/>
        <v>49</v>
      </c>
      <c r="R55" s="112">
        <f t="shared" si="5"/>
        <v>-5.84782292721028</v>
      </c>
      <c r="S55" s="112">
        <f t="shared" si="8"/>
        <v>-9.514681166097283</v>
      </c>
      <c r="T55" s="111">
        <f t="shared" si="9"/>
        <v>76</v>
      </c>
    </row>
    <row r="56" spans="1:21" customFormat="1" ht="14.5">
      <c r="A56" s="35">
        <v>52</v>
      </c>
      <c r="B56" s="107" t="s">
        <v>69</v>
      </c>
      <c r="C56" s="108">
        <v>181223</v>
      </c>
      <c r="D56" s="109">
        <v>144633.06342161176</v>
      </c>
      <c r="E56" s="109">
        <v>12</v>
      </c>
      <c r="F56" s="109">
        <v>639</v>
      </c>
      <c r="H56" s="110">
        <v>61.43868097</v>
      </c>
      <c r="I56" s="110">
        <v>62.063452720000001</v>
      </c>
      <c r="J56" s="111">
        <f t="shared" si="7"/>
        <v>12</v>
      </c>
      <c r="K56" s="111">
        <f t="shared" si="7"/>
        <v>19</v>
      </c>
      <c r="M56" s="112">
        <f t="shared" si="0"/>
        <v>4.4180769243425813</v>
      </c>
      <c r="N56" s="111">
        <f t="shared" si="1"/>
        <v>48</v>
      </c>
      <c r="O56" s="111">
        <f t="shared" si="2"/>
        <v>21</v>
      </c>
      <c r="P56" s="113">
        <f t="shared" si="3"/>
        <v>424.79001354554413</v>
      </c>
      <c r="Q56" s="111">
        <f t="shared" si="4"/>
        <v>46</v>
      </c>
      <c r="R56" s="112">
        <f t="shared" si="5"/>
        <v>-1.0066661176887239</v>
      </c>
      <c r="S56" s="112">
        <f t="shared" si="8"/>
        <v>-4.8620684379198247</v>
      </c>
      <c r="T56" s="111">
        <f t="shared" si="9"/>
        <v>56</v>
      </c>
      <c r="U56" s="109"/>
    </row>
    <row r="57" spans="1:21" customFormat="1" ht="14.5">
      <c r="A57" s="35">
        <v>53</v>
      </c>
      <c r="B57" s="107" t="s">
        <v>70</v>
      </c>
      <c r="C57" s="108">
        <v>170243</v>
      </c>
      <c r="D57" s="109">
        <v>130948.41810412428</v>
      </c>
      <c r="E57" s="109">
        <v>17</v>
      </c>
      <c r="F57" s="109">
        <v>825</v>
      </c>
      <c r="H57" s="110">
        <v>87.818238919999999</v>
      </c>
      <c r="I57" s="110">
        <v>90.34406826</v>
      </c>
      <c r="J57" s="111">
        <f t="shared" si="7"/>
        <v>2</v>
      </c>
      <c r="K57" s="111">
        <f t="shared" si="7"/>
        <v>9</v>
      </c>
      <c r="M57" s="112">
        <f t="shared" si="0"/>
        <v>6.3001906547965865</v>
      </c>
      <c r="N57" s="111">
        <f t="shared" si="1"/>
        <v>28</v>
      </c>
      <c r="O57" s="111">
        <f t="shared" si="2"/>
        <v>11</v>
      </c>
      <c r="P57" s="113">
        <f t="shared" si="3"/>
        <v>670.6323008054278</v>
      </c>
      <c r="Q57" s="111">
        <f t="shared" si="4"/>
        <v>21</v>
      </c>
      <c r="R57" s="112">
        <f t="shared" si="5"/>
        <v>-2.7957887979219072</v>
      </c>
      <c r="S57" s="112">
        <f t="shared" si="8"/>
        <v>-6.5815118027685093</v>
      </c>
      <c r="T57" s="111">
        <f t="shared" si="9"/>
        <v>67</v>
      </c>
      <c r="U57" s="109"/>
    </row>
    <row r="58" spans="1:21" customFormat="1" ht="14.5">
      <c r="A58" s="35">
        <v>54</v>
      </c>
      <c r="B58" s="107" t="s">
        <v>71</v>
      </c>
      <c r="C58" s="108">
        <v>20576</v>
      </c>
      <c r="D58" s="109">
        <v>16472.115940135569</v>
      </c>
      <c r="E58" s="109">
        <v>1</v>
      </c>
      <c r="F58" s="109">
        <v>30</v>
      </c>
      <c r="H58" s="110">
        <v>3.171764</v>
      </c>
      <c r="I58" s="110">
        <v>3.0536094500000002</v>
      </c>
      <c r="J58" s="111">
        <f t="shared" si="7"/>
        <v>64</v>
      </c>
      <c r="K58" s="111">
        <f t="shared" si="7"/>
        <v>67</v>
      </c>
      <c r="M58" s="112">
        <f t="shared" si="0"/>
        <v>1.8212596432072645</v>
      </c>
      <c r="N58" s="111">
        <f t="shared" si="1"/>
        <v>68</v>
      </c>
      <c r="O58" s="111">
        <f t="shared" si="2"/>
        <v>63</v>
      </c>
      <c r="P58" s="113">
        <f t="shared" si="3"/>
        <v>192.55352569925486</v>
      </c>
      <c r="Q58" s="111">
        <f t="shared" si="4"/>
        <v>65</v>
      </c>
      <c r="R58" s="112">
        <f t="shared" si="5"/>
        <v>3.8693405929825064</v>
      </c>
      <c r="S58" s="112">
        <f t="shared" si="8"/>
        <v>-0.17596307563771268</v>
      </c>
      <c r="T58" s="111">
        <f t="shared" si="9"/>
        <v>23</v>
      </c>
    </row>
    <row r="59" spans="1:21" customFormat="1" ht="14.5">
      <c r="A59" s="35">
        <v>55</v>
      </c>
      <c r="B59" s="107" t="s">
        <v>72</v>
      </c>
      <c r="C59" s="108">
        <v>17610</v>
      </c>
      <c r="D59" s="109">
        <v>13294.213189987033</v>
      </c>
      <c r="E59" s="109">
        <v>0</v>
      </c>
      <c r="F59" s="109">
        <v>0</v>
      </c>
      <c r="H59" s="110">
        <v>0</v>
      </c>
      <c r="I59" s="110">
        <v>0</v>
      </c>
      <c r="J59" s="111">
        <f t="shared" si="7"/>
        <v>71</v>
      </c>
      <c r="K59" s="111">
        <f t="shared" si="7"/>
        <v>71</v>
      </c>
      <c r="M59" s="112">
        <f t="shared" si="0"/>
        <v>0</v>
      </c>
      <c r="N59" s="111">
        <f t="shared" si="1"/>
        <v>71</v>
      </c>
      <c r="O59" s="111">
        <f t="shared" si="2"/>
        <v>71</v>
      </c>
      <c r="P59" s="113">
        <f t="shared" si="3"/>
        <v>0</v>
      </c>
      <c r="Q59" s="111">
        <f t="shared" si="4"/>
        <v>71</v>
      </c>
      <c r="R59" s="112"/>
      <c r="S59" s="112">
        <v>0</v>
      </c>
      <c r="T59" s="111">
        <f t="shared" si="9"/>
        <v>13</v>
      </c>
    </row>
    <row r="60" spans="1:21" customFormat="1" ht="14.5">
      <c r="A60" s="35">
        <v>56</v>
      </c>
      <c r="B60" s="107" t="s">
        <v>73</v>
      </c>
      <c r="C60" s="108">
        <v>15482</v>
      </c>
      <c r="D60" s="109">
        <v>12457.542218300412</v>
      </c>
      <c r="E60" s="109">
        <v>1</v>
      </c>
      <c r="F60" s="109">
        <v>25</v>
      </c>
      <c r="H60" s="110">
        <v>1.6127119999999999</v>
      </c>
      <c r="I60" s="110">
        <v>1.7748838999999998</v>
      </c>
      <c r="J60" s="111">
        <f t="shared" si="7"/>
        <v>64</v>
      </c>
      <c r="K60" s="111">
        <f t="shared" si="7"/>
        <v>69</v>
      </c>
      <c r="M60" s="112">
        <f t="shared" si="0"/>
        <v>2.0068163978023232</v>
      </c>
      <c r="N60" s="111">
        <f t="shared" si="1"/>
        <v>66</v>
      </c>
      <c r="O60" s="111">
        <f t="shared" si="2"/>
        <v>68</v>
      </c>
      <c r="P60" s="113">
        <f t="shared" si="3"/>
        <v>129.45667546130323</v>
      </c>
      <c r="Q60" s="111">
        <f t="shared" si="4"/>
        <v>69</v>
      </c>
      <c r="R60" s="112">
        <f t="shared" si="5"/>
        <v>-9.1370427102302276</v>
      </c>
      <c r="S60" s="112">
        <f t="shared" si="8"/>
        <v>-12.675798731666077</v>
      </c>
      <c r="T60" s="111">
        <f t="shared" si="9"/>
        <v>78</v>
      </c>
    </row>
    <row r="61" spans="1:21" customFormat="1" ht="14.5">
      <c r="A61" s="35">
        <v>57</v>
      </c>
      <c r="B61" s="107" t="s">
        <v>74</v>
      </c>
      <c r="C61" s="108">
        <v>63264</v>
      </c>
      <c r="D61" s="109">
        <v>47882.494343886836</v>
      </c>
      <c r="E61" s="109">
        <v>2</v>
      </c>
      <c r="F61" s="109">
        <v>90</v>
      </c>
      <c r="H61" s="110">
        <v>9.3688699999999994</v>
      </c>
      <c r="I61" s="110">
        <v>9.6008423300000008</v>
      </c>
      <c r="J61" s="111">
        <f t="shared" si="7"/>
        <v>55</v>
      </c>
      <c r="K61" s="111">
        <f t="shared" si="7"/>
        <v>56</v>
      </c>
      <c r="M61" s="112">
        <f t="shared" si="0"/>
        <v>1.8796013289038338</v>
      </c>
      <c r="N61" s="111">
        <f t="shared" si="1"/>
        <v>67</v>
      </c>
      <c r="O61" s="111">
        <f t="shared" si="2"/>
        <v>50</v>
      </c>
      <c r="P61" s="113">
        <f t="shared" si="3"/>
        <v>195.66378335919177</v>
      </c>
      <c r="Q61" s="111">
        <f t="shared" si="4"/>
        <v>64</v>
      </c>
      <c r="R61" s="112">
        <f t="shared" si="5"/>
        <v>-2.4161664365130906</v>
      </c>
      <c r="S61" s="112">
        <f t="shared" si="8"/>
        <v>-6.2166742442912488</v>
      </c>
      <c r="T61" s="111">
        <f t="shared" si="9"/>
        <v>64</v>
      </c>
      <c r="U61" s="109"/>
    </row>
    <row r="62" spans="1:21" customFormat="1" ht="14.5">
      <c r="A62" s="35">
        <v>58</v>
      </c>
      <c r="B62" s="107" t="s">
        <v>75</v>
      </c>
      <c r="C62" s="108">
        <v>11879</v>
      </c>
      <c r="D62" s="109">
        <v>9383.4819310285129</v>
      </c>
      <c r="E62" s="109">
        <v>2</v>
      </c>
      <c r="F62" s="109">
        <v>80</v>
      </c>
      <c r="H62" s="110">
        <v>4.5908899999999999</v>
      </c>
      <c r="I62" s="110">
        <v>4.8481694600000003</v>
      </c>
      <c r="J62" s="111">
        <f t="shared" si="7"/>
        <v>55</v>
      </c>
      <c r="K62" s="111">
        <f t="shared" si="7"/>
        <v>59</v>
      </c>
      <c r="M62" s="112">
        <f t="shared" si="0"/>
        <v>8.5256198698974099</v>
      </c>
      <c r="N62" s="111">
        <f t="shared" si="1"/>
        <v>11</v>
      </c>
      <c r="O62" s="111">
        <f t="shared" si="2"/>
        <v>59</v>
      </c>
      <c r="P62" s="113">
        <f t="shared" si="3"/>
        <v>489.25228755641643</v>
      </c>
      <c r="Q62" s="111">
        <f t="shared" si="4"/>
        <v>40</v>
      </c>
      <c r="R62" s="112">
        <f t="shared" si="5"/>
        <v>-5.3067340595805073</v>
      </c>
      <c r="S62" s="112">
        <f t="shared" si="8"/>
        <v>-8.9946655888992737</v>
      </c>
      <c r="T62" s="111">
        <f t="shared" si="9"/>
        <v>74</v>
      </c>
    </row>
    <row r="63" spans="1:21" customFormat="1" ht="14.5">
      <c r="A63" s="35">
        <v>59</v>
      </c>
      <c r="B63" s="107" t="s">
        <v>76</v>
      </c>
      <c r="C63" s="108">
        <v>109515</v>
      </c>
      <c r="D63" s="109">
        <v>93546.712063410567</v>
      </c>
      <c r="E63" s="109">
        <v>10</v>
      </c>
      <c r="F63" s="109">
        <v>377</v>
      </c>
      <c r="H63" s="110">
        <v>29.44278323</v>
      </c>
      <c r="I63" s="110">
        <v>28.49463609</v>
      </c>
      <c r="J63" s="111">
        <f t="shared" si="7"/>
        <v>17</v>
      </c>
      <c r="K63" s="111">
        <f t="shared" si="7"/>
        <v>30</v>
      </c>
      <c r="M63" s="112">
        <f t="shared" si="0"/>
        <v>4.0300721605741829</v>
      </c>
      <c r="N63" s="111">
        <f t="shared" si="1"/>
        <v>53</v>
      </c>
      <c r="O63" s="111">
        <f t="shared" si="2"/>
        <v>34</v>
      </c>
      <c r="P63" s="113">
        <f t="shared" si="3"/>
        <v>314.73883561019477</v>
      </c>
      <c r="Q63" s="111">
        <f t="shared" si="4"/>
        <v>52</v>
      </c>
      <c r="R63" s="112">
        <f t="shared" si="5"/>
        <v>3.3274583223498175</v>
      </c>
      <c r="S63" s="112">
        <f t="shared" si="8"/>
        <v>-0.69674115590165764</v>
      </c>
      <c r="T63" s="111">
        <f t="shared" si="9"/>
        <v>26</v>
      </c>
      <c r="U63" s="109"/>
    </row>
    <row r="64" spans="1:21" customFormat="1" ht="14.5">
      <c r="A64" s="35">
        <v>60</v>
      </c>
      <c r="B64" s="107" t="s">
        <v>77</v>
      </c>
      <c r="C64" s="108">
        <v>7786</v>
      </c>
      <c r="D64" s="109">
        <v>6233.2276705397899</v>
      </c>
      <c r="E64" s="109">
        <v>0</v>
      </c>
      <c r="F64" s="109">
        <v>0</v>
      </c>
      <c r="H64" s="110">
        <v>0</v>
      </c>
      <c r="I64" s="110">
        <v>0</v>
      </c>
      <c r="J64" s="111">
        <f t="shared" si="7"/>
        <v>71</v>
      </c>
      <c r="K64" s="111">
        <f t="shared" si="7"/>
        <v>71</v>
      </c>
      <c r="M64" s="112">
        <f t="shared" si="0"/>
        <v>0</v>
      </c>
      <c r="N64" s="111">
        <f t="shared" si="1"/>
        <v>71</v>
      </c>
      <c r="O64" s="111">
        <f t="shared" si="2"/>
        <v>71</v>
      </c>
      <c r="P64" s="113">
        <f t="shared" si="3"/>
        <v>0</v>
      </c>
      <c r="Q64" s="111">
        <f t="shared" si="4"/>
        <v>71</v>
      </c>
      <c r="R64" s="112"/>
      <c r="S64" s="112">
        <v>0</v>
      </c>
      <c r="T64" s="111">
        <f t="shared" si="9"/>
        <v>13</v>
      </c>
    </row>
    <row r="65" spans="1:21" customFormat="1" ht="14.5">
      <c r="A65" s="35">
        <v>61</v>
      </c>
      <c r="B65" s="107" t="s">
        <v>78</v>
      </c>
      <c r="C65" s="108">
        <v>3238</v>
      </c>
      <c r="D65" s="109">
        <v>2647.0277283443315</v>
      </c>
      <c r="E65" s="109">
        <v>1</v>
      </c>
      <c r="F65" s="109">
        <v>30</v>
      </c>
      <c r="H65" s="110">
        <v>1.1768434299999999</v>
      </c>
      <c r="I65" s="110">
        <v>1.4642032</v>
      </c>
      <c r="J65" s="111">
        <f t="shared" si="7"/>
        <v>64</v>
      </c>
      <c r="K65" s="111">
        <f t="shared" si="7"/>
        <v>67</v>
      </c>
      <c r="M65" s="112">
        <f t="shared" si="0"/>
        <v>11.333466468356365</v>
      </c>
      <c r="N65" s="111">
        <f t="shared" si="1"/>
        <v>1</v>
      </c>
      <c r="O65" s="111">
        <f t="shared" si="2"/>
        <v>69</v>
      </c>
      <c r="P65" s="113">
        <f t="shared" si="3"/>
        <v>444.59051841368296</v>
      </c>
      <c r="Q65" s="111">
        <f t="shared" si="4"/>
        <v>44</v>
      </c>
      <c r="R65" s="112">
        <f t="shared" si="5"/>
        <v>-19.625675589289802</v>
      </c>
      <c r="S65" s="112">
        <v>0</v>
      </c>
      <c r="T65" s="111">
        <f>RANK($S65,$S$5:$S$83)</f>
        <v>13</v>
      </c>
    </row>
    <row r="66" spans="1:21" customFormat="1" ht="14.5">
      <c r="A66" s="35">
        <v>62</v>
      </c>
      <c r="B66" s="107" t="s">
        <v>79</v>
      </c>
      <c r="C66" s="108">
        <v>30823</v>
      </c>
      <c r="D66" s="109">
        <v>23764.418312509672</v>
      </c>
      <c r="E66" s="109">
        <v>4</v>
      </c>
      <c r="F66" s="109">
        <v>105</v>
      </c>
      <c r="H66" s="110">
        <v>7.1574345399999997</v>
      </c>
      <c r="I66" s="110">
        <v>7.1040885999999999</v>
      </c>
      <c r="J66" s="111">
        <f t="shared" si="7"/>
        <v>39</v>
      </c>
      <c r="K66" s="111">
        <f t="shared" si="7"/>
        <v>51</v>
      </c>
      <c r="M66" s="112">
        <f t="shared" si="0"/>
        <v>4.4183702971062262</v>
      </c>
      <c r="N66" s="111">
        <f t="shared" si="1"/>
        <v>47</v>
      </c>
      <c r="O66" s="111">
        <f t="shared" si="2"/>
        <v>54</v>
      </c>
      <c r="P66" s="113">
        <f t="shared" si="3"/>
        <v>301.18282071445867</v>
      </c>
      <c r="Q66" s="111">
        <f t="shared" si="4"/>
        <v>54</v>
      </c>
      <c r="R66" s="112">
        <f t="shared" si="5"/>
        <v>0.75091884411463872</v>
      </c>
      <c r="S66" s="112">
        <f t="shared" si="8"/>
        <v>-3.1729345209898216</v>
      </c>
      <c r="T66" s="111">
        <f t="shared" si="9"/>
        <v>35</v>
      </c>
    </row>
    <row r="67" spans="1:21" customFormat="1" ht="14.5">
      <c r="A67" s="35">
        <v>63</v>
      </c>
      <c r="B67" s="107" t="s">
        <v>80</v>
      </c>
      <c r="C67" s="108">
        <v>16470</v>
      </c>
      <c r="D67" s="109">
        <v>12549.802523007806</v>
      </c>
      <c r="E67" s="109">
        <v>2</v>
      </c>
      <c r="F67" s="109">
        <v>75</v>
      </c>
      <c r="H67" s="110">
        <v>6.8747369999999997</v>
      </c>
      <c r="I67" s="110">
        <v>6.98921057</v>
      </c>
      <c r="J67" s="111">
        <f t="shared" si="7"/>
        <v>55</v>
      </c>
      <c r="K67" s="111">
        <f t="shared" si="7"/>
        <v>60</v>
      </c>
      <c r="M67" s="112">
        <f t="shared" si="0"/>
        <v>5.9761896541798958</v>
      </c>
      <c r="N67" s="111">
        <f t="shared" si="1"/>
        <v>33</v>
      </c>
      <c r="O67" s="111">
        <f t="shared" si="2"/>
        <v>55</v>
      </c>
      <c r="P67" s="113">
        <f t="shared" si="3"/>
        <v>547.79642846143634</v>
      </c>
      <c r="Q67" s="111">
        <f t="shared" si="4"/>
        <v>38</v>
      </c>
      <c r="R67" s="112">
        <f t="shared" si="5"/>
        <v>-1.637861227008365</v>
      </c>
      <c r="S67" s="112">
        <f t="shared" si="8"/>
        <v>-5.4686809718927085</v>
      </c>
      <c r="T67" s="111">
        <f t="shared" si="9"/>
        <v>59</v>
      </c>
    </row>
    <row r="68" spans="1:21" ht="14.5">
      <c r="A68" s="35">
        <v>64</v>
      </c>
      <c r="B68" s="107" t="s">
        <v>81</v>
      </c>
      <c r="C68" s="108">
        <v>111335</v>
      </c>
      <c r="D68" s="109">
        <v>92978.060523486332</v>
      </c>
      <c r="E68" s="109">
        <v>4</v>
      </c>
      <c r="F68" s="109">
        <v>199</v>
      </c>
      <c r="G68"/>
      <c r="H68" s="110">
        <v>19.809877190000002</v>
      </c>
      <c r="I68" s="110">
        <v>20.327117510000001</v>
      </c>
      <c r="J68" s="111">
        <f t="shared" si="7"/>
        <v>39</v>
      </c>
      <c r="K68" s="111">
        <f t="shared" si="7"/>
        <v>41</v>
      </c>
      <c r="L68"/>
      <c r="M68" s="112">
        <f t="shared" si="0"/>
        <v>2.1402898584847598</v>
      </c>
      <c r="N68" s="111">
        <f t="shared" si="1"/>
        <v>64</v>
      </c>
      <c r="O68" s="111">
        <f t="shared" si="2"/>
        <v>40</v>
      </c>
      <c r="P68" s="113">
        <f t="shared" si="3"/>
        <v>213.05969471148532</v>
      </c>
      <c r="Q68" s="111">
        <f t="shared" si="4"/>
        <v>62</v>
      </c>
      <c r="R68" s="112">
        <f t="shared" si="5"/>
        <v>-2.5445827218027386</v>
      </c>
      <c r="S68" s="112">
        <f t="shared" si="8"/>
        <v>-6.340089218635554</v>
      </c>
      <c r="T68" s="111">
        <f t="shared" si="9"/>
        <v>65</v>
      </c>
      <c r="U68" s="109"/>
    </row>
    <row r="69" spans="1:21" ht="14.5">
      <c r="A69" s="35">
        <v>65</v>
      </c>
      <c r="B69" s="107" t="s">
        <v>82</v>
      </c>
      <c r="C69" s="108">
        <v>11578</v>
      </c>
      <c r="D69" s="109">
        <v>9201.897598867934</v>
      </c>
      <c r="E69" s="109">
        <v>1</v>
      </c>
      <c r="F69" s="109">
        <v>32</v>
      </c>
      <c r="G69"/>
      <c r="H69" s="110">
        <v>2.3327399999999998</v>
      </c>
      <c r="I69" s="110">
        <v>2.0436797700000002</v>
      </c>
      <c r="J69" s="111">
        <f t="shared" si="7"/>
        <v>64</v>
      </c>
      <c r="K69" s="111">
        <f t="shared" si="7"/>
        <v>66</v>
      </c>
      <c r="L69"/>
      <c r="M69" s="112">
        <f t="shared" si="0"/>
        <v>3.4775435888285484</v>
      </c>
      <c r="N69" s="111">
        <f t="shared" si="1"/>
        <v>58</v>
      </c>
      <c r="O69" s="111">
        <f t="shared" si="2"/>
        <v>65</v>
      </c>
      <c r="P69" s="113">
        <f t="shared" si="3"/>
        <v>253.50640723137212</v>
      </c>
      <c r="Q69" s="111">
        <f t="shared" si="4"/>
        <v>60</v>
      </c>
      <c r="R69" s="112">
        <f t="shared" si="5"/>
        <v>14.144105854705385</v>
      </c>
      <c r="S69" s="112">
        <f t="shared" si="8"/>
        <v>9.6986403542089725</v>
      </c>
      <c r="T69" s="111">
        <f t="shared" ref="T69:T83" si="10">RANK($S69,$S$5:$S$83)</f>
        <v>3</v>
      </c>
    </row>
    <row r="70" spans="1:21" ht="14.5">
      <c r="A70" s="35">
        <v>66</v>
      </c>
      <c r="B70" s="107" t="s">
        <v>83</v>
      </c>
      <c r="C70" s="108">
        <v>39292</v>
      </c>
      <c r="D70" s="109">
        <v>29578.713915141929</v>
      </c>
      <c r="E70" s="109">
        <v>3</v>
      </c>
      <c r="F70" s="109">
        <v>89</v>
      </c>
      <c r="G70"/>
      <c r="H70" s="110">
        <v>4.4492567699999999</v>
      </c>
      <c r="I70" s="110">
        <v>4.1242048499999999</v>
      </c>
      <c r="J70" s="111">
        <f t="shared" ref="J70:K83" si="11">RANK(E70,E$5:E$83)</f>
        <v>49</v>
      </c>
      <c r="K70" s="111">
        <f t="shared" si="11"/>
        <v>57</v>
      </c>
      <c r="L70"/>
      <c r="M70" s="112">
        <f t="shared" ref="M70:M85" si="12">F70/D70*1000</f>
        <v>3.0089205452046088</v>
      </c>
      <c r="N70" s="111">
        <f t="shared" ref="N70:N83" si="13">RANK(M70,M$5:M$83)</f>
        <v>62</v>
      </c>
      <c r="O70" s="111">
        <f t="shared" ref="O70:O83" si="14">RANK(H70,H$5:H$83)</f>
        <v>60</v>
      </c>
      <c r="P70" s="113">
        <f t="shared" ref="P70:P85" si="15">H70/D70*1000000</f>
        <v>150.4209000690303</v>
      </c>
      <c r="Q70" s="111">
        <f t="shared" ref="Q70:Q83" si="16">RANK(P70,P$5:P$83)</f>
        <v>67</v>
      </c>
      <c r="R70" s="112">
        <f t="shared" ref="R70:R85" si="17">(H70-I70)/I70*100</f>
        <v>7.881565824743161</v>
      </c>
      <c r="S70" s="112">
        <f t="shared" ref="S70:S85" si="18">IF((I70*H$3/I$3)&gt;0,(H70-(I70*H$3/I$3))/(I70*H$3/I$3)*100,"")</f>
        <v>3.6800017104831433</v>
      </c>
      <c r="T70" s="111">
        <f t="shared" si="10"/>
        <v>6</v>
      </c>
    </row>
    <row r="71" spans="1:21" ht="14.5">
      <c r="A71" s="35">
        <v>67</v>
      </c>
      <c r="B71" s="107" t="s">
        <v>84</v>
      </c>
      <c r="C71" s="108">
        <v>21212</v>
      </c>
      <c r="D71" s="109">
        <v>15962.191671285249</v>
      </c>
      <c r="E71" s="109">
        <v>4</v>
      </c>
      <c r="F71" s="109">
        <v>159</v>
      </c>
      <c r="G71"/>
      <c r="H71" s="110">
        <v>9.6604794700000003</v>
      </c>
      <c r="I71" s="110">
        <v>10.1687925</v>
      </c>
      <c r="J71" s="111">
        <f t="shared" si="11"/>
        <v>39</v>
      </c>
      <c r="K71" s="111">
        <f t="shared" si="11"/>
        <v>43</v>
      </c>
      <c r="L71"/>
      <c r="M71" s="112">
        <f t="shared" si="12"/>
        <v>9.9610381377658008</v>
      </c>
      <c r="N71" s="111">
        <f t="shared" si="13"/>
        <v>3</v>
      </c>
      <c r="O71" s="111">
        <f t="shared" si="14"/>
        <v>49</v>
      </c>
      <c r="P71" s="113">
        <f t="shared" si="15"/>
        <v>605.21009075329277</v>
      </c>
      <c r="Q71" s="111">
        <f t="shared" si="16"/>
        <v>29</v>
      </c>
      <c r="R71" s="112">
        <f t="shared" si="17"/>
        <v>-4.998755063592851</v>
      </c>
      <c r="S71" s="112">
        <f t="shared" si="18"/>
        <v>-8.6986811675879707</v>
      </c>
      <c r="T71" s="111">
        <f t="shared" si="10"/>
        <v>73</v>
      </c>
    </row>
    <row r="72" spans="1:21" ht="14.5">
      <c r="A72" s="35">
        <v>68</v>
      </c>
      <c r="B72" s="107" t="s">
        <v>85</v>
      </c>
      <c r="C72" s="108">
        <v>6243</v>
      </c>
      <c r="D72" s="109">
        <v>4880.9786775191687</v>
      </c>
      <c r="E72" s="109">
        <v>1</v>
      </c>
      <c r="F72" s="109">
        <v>10</v>
      </c>
      <c r="G72"/>
      <c r="H72" s="110">
        <v>0.43603599999999998</v>
      </c>
      <c r="I72" s="110">
        <v>0.30763483000000003</v>
      </c>
      <c r="J72" s="111">
        <f t="shared" si="11"/>
        <v>64</v>
      </c>
      <c r="K72" s="111">
        <f t="shared" si="11"/>
        <v>70</v>
      </c>
      <c r="L72"/>
      <c r="M72" s="112">
        <f t="shared" si="12"/>
        <v>2.0487694498765259</v>
      </c>
      <c r="N72" s="111">
        <f t="shared" si="13"/>
        <v>65</v>
      </c>
      <c r="O72" s="111">
        <f t="shared" si="14"/>
        <v>70</v>
      </c>
      <c r="P72" s="113">
        <f t="shared" si="15"/>
        <v>89.333723584636076</v>
      </c>
      <c r="Q72" s="111">
        <f t="shared" si="16"/>
        <v>70</v>
      </c>
      <c r="R72" s="112">
        <f t="shared" si="17"/>
        <v>41.738177045817579</v>
      </c>
      <c r="S72" s="112">
        <f t="shared" si="18"/>
        <v>36.218030635783208</v>
      </c>
      <c r="T72" s="111">
        <f t="shared" si="10"/>
        <v>1</v>
      </c>
    </row>
    <row r="73" spans="1:21" ht="14.5">
      <c r="A73" s="35">
        <v>69</v>
      </c>
      <c r="B73" s="107" t="s">
        <v>86</v>
      </c>
      <c r="C73" s="108">
        <v>30002</v>
      </c>
      <c r="D73" s="109">
        <v>22764.181656339482</v>
      </c>
      <c r="E73" s="109">
        <v>4</v>
      </c>
      <c r="F73" s="109">
        <v>154</v>
      </c>
      <c r="G73"/>
      <c r="H73" s="110">
        <v>10.559115949999999</v>
      </c>
      <c r="I73" s="110">
        <v>10.874190789999998</v>
      </c>
      <c r="J73" s="111">
        <f t="shared" si="11"/>
        <v>39</v>
      </c>
      <c r="K73" s="111">
        <f t="shared" si="11"/>
        <v>44</v>
      </c>
      <c r="L73"/>
      <c r="M73" s="112">
        <f t="shared" si="12"/>
        <v>6.7650136659805344</v>
      </c>
      <c r="N73" s="111">
        <f t="shared" si="13"/>
        <v>21</v>
      </c>
      <c r="O73" s="111">
        <f t="shared" si="14"/>
        <v>46</v>
      </c>
      <c r="P73" s="113">
        <f t="shared" si="15"/>
        <v>463.84781624950023</v>
      </c>
      <c r="Q73" s="111">
        <f t="shared" si="16"/>
        <v>41</v>
      </c>
      <c r="R73" s="112">
        <f t="shared" si="17"/>
        <v>-2.8974555080433664</v>
      </c>
      <c r="S73" s="112">
        <f t="shared" si="18"/>
        <v>-6.6792189930443442</v>
      </c>
      <c r="T73" s="111">
        <f t="shared" si="10"/>
        <v>68</v>
      </c>
    </row>
    <row r="74" spans="1:21" ht="14.5">
      <c r="A74" s="35">
        <v>70</v>
      </c>
      <c r="B74" s="107" t="s">
        <v>87</v>
      </c>
      <c r="C74" s="108">
        <v>35907</v>
      </c>
      <c r="D74" s="109">
        <v>27341.595896324332</v>
      </c>
      <c r="E74" s="109">
        <v>8</v>
      </c>
      <c r="F74" s="109">
        <v>234</v>
      </c>
      <c r="G74"/>
      <c r="H74" s="110">
        <v>23.211597749999999</v>
      </c>
      <c r="I74" s="110">
        <v>23.206800960000002</v>
      </c>
      <c r="J74" s="111">
        <f t="shared" si="11"/>
        <v>28</v>
      </c>
      <c r="K74" s="111">
        <f t="shared" si="11"/>
        <v>37</v>
      </c>
      <c r="L74"/>
      <c r="M74" s="112">
        <f t="shared" si="12"/>
        <v>8.5583885039957668</v>
      </c>
      <c r="N74" s="111">
        <f t="shared" si="13"/>
        <v>10</v>
      </c>
      <c r="O74" s="111">
        <f t="shared" si="14"/>
        <v>36</v>
      </c>
      <c r="P74" s="113">
        <f t="shared" si="15"/>
        <v>848.94816813236753</v>
      </c>
      <c r="Q74" s="111">
        <f t="shared" si="16"/>
        <v>6</v>
      </c>
      <c r="R74" s="112">
        <f t="shared" si="17"/>
        <v>2.0669759732350353E-2</v>
      </c>
      <c r="S74" s="112">
        <f t="shared" si="18"/>
        <v>-3.8747432659688412</v>
      </c>
      <c r="T74" s="111">
        <f t="shared" si="10"/>
        <v>46</v>
      </c>
    </row>
    <row r="75" spans="1:21" ht="14.5">
      <c r="A75" s="35">
        <v>71</v>
      </c>
      <c r="B75" s="107" t="s">
        <v>88</v>
      </c>
      <c r="C75" s="108">
        <v>46124</v>
      </c>
      <c r="D75" s="109">
        <v>35730.937344869722</v>
      </c>
      <c r="E75" s="109">
        <v>7</v>
      </c>
      <c r="F75" s="109">
        <v>318</v>
      </c>
      <c r="G75"/>
      <c r="H75" s="110">
        <v>26.291861260000001</v>
      </c>
      <c r="I75" s="110">
        <v>25.934121440000002</v>
      </c>
      <c r="J75" s="111">
        <f t="shared" si="11"/>
        <v>31</v>
      </c>
      <c r="K75" s="111">
        <f t="shared" si="11"/>
        <v>33</v>
      </c>
      <c r="L75"/>
      <c r="M75" s="112">
        <f t="shared" si="12"/>
        <v>8.8998504833699439</v>
      </c>
      <c r="N75" s="111">
        <f t="shared" si="13"/>
        <v>7</v>
      </c>
      <c r="O75" s="111">
        <f t="shared" si="14"/>
        <v>35</v>
      </c>
      <c r="P75" s="113">
        <f t="shared" si="15"/>
        <v>735.82903818712737</v>
      </c>
      <c r="Q75" s="111">
        <f t="shared" si="16"/>
        <v>14</v>
      </c>
      <c r="R75" s="112">
        <f t="shared" si="17"/>
        <v>1.3794175400452624</v>
      </c>
      <c r="S75" s="112">
        <f t="shared" si="18"/>
        <v>-2.5689133856738686</v>
      </c>
      <c r="T75" s="111">
        <f t="shared" si="10"/>
        <v>31</v>
      </c>
    </row>
    <row r="76" spans="1:21" ht="14.5">
      <c r="A76" s="35">
        <v>72</v>
      </c>
      <c r="B76" s="107" t="s">
        <v>89</v>
      </c>
      <c r="C76" s="108">
        <v>3933</v>
      </c>
      <c r="D76" s="109">
        <v>3030.9195244118569</v>
      </c>
      <c r="E76" s="109">
        <v>0</v>
      </c>
      <c r="F76" s="109">
        <v>0</v>
      </c>
      <c r="G76"/>
      <c r="H76" s="110">
        <v>0</v>
      </c>
      <c r="I76" s="110">
        <v>0</v>
      </c>
      <c r="J76" s="111">
        <f t="shared" si="11"/>
        <v>71</v>
      </c>
      <c r="K76" s="111">
        <f t="shared" si="11"/>
        <v>71</v>
      </c>
      <c r="L76"/>
      <c r="M76" s="112">
        <f t="shared" si="12"/>
        <v>0</v>
      </c>
      <c r="N76" s="111">
        <f t="shared" si="13"/>
        <v>71</v>
      </c>
      <c r="O76" s="111">
        <f t="shared" si="14"/>
        <v>71</v>
      </c>
      <c r="P76" s="113">
        <f t="shared" si="15"/>
        <v>0</v>
      </c>
      <c r="Q76" s="111">
        <f t="shared" si="16"/>
        <v>71</v>
      </c>
      <c r="R76" s="112"/>
      <c r="S76" s="112">
        <v>0</v>
      </c>
      <c r="T76" s="111">
        <f t="shared" si="10"/>
        <v>13</v>
      </c>
    </row>
    <row r="77" spans="1:21" ht="14.5">
      <c r="A77" s="35">
        <v>73</v>
      </c>
      <c r="B77" s="107" t="s">
        <v>152</v>
      </c>
      <c r="C77" s="108">
        <v>178639</v>
      </c>
      <c r="D77" s="109">
        <v>138250.72587179486</v>
      </c>
      <c r="E77" s="109">
        <v>6</v>
      </c>
      <c r="F77" s="109">
        <v>431</v>
      </c>
      <c r="G77"/>
      <c r="H77" s="110">
        <v>59.662331369999997</v>
      </c>
      <c r="I77" s="110">
        <v>56.114551280000001</v>
      </c>
      <c r="J77" s="111">
        <f t="shared" si="11"/>
        <v>34</v>
      </c>
      <c r="K77" s="111">
        <f t="shared" si="11"/>
        <v>28</v>
      </c>
      <c r="L77"/>
      <c r="M77" s="112">
        <f t="shared" si="12"/>
        <v>3.117524318821173</v>
      </c>
      <c r="N77" s="111">
        <f t="shared" si="13"/>
        <v>61</v>
      </c>
      <c r="O77" s="111">
        <f t="shared" si="14"/>
        <v>22</v>
      </c>
      <c r="P77" s="113">
        <f t="shared" si="15"/>
        <v>431.55166812886853</v>
      </c>
      <c r="Q77" s="111">
        <f t="shared" si="16"/>
        <v>45</v>
      </c>
      <c r="R77" s="112">
        <f t="shared" si="17"/>
        <v>6.3223887727397257</v>
      </c>
      <c r="S77" s="112">
        <f t="shared" si="18"/>
        <v>2.1815484929864981</v>
      </c>
      <c r="T77" s="111">
        <f t="shared" si="10"/>
        <v>9</v>
      </c>
      <c r="U77" s="109"/>
    </row>
    <row r="78" spans="1:21" ht="14.5">
      <c r="A78" s="35">
        <v>74</v>
      </c>
      <c r="B78" s="107" t="s">
        <v>90</v>
      </c>
      <c r="C78" s="108">
        <v>245029</v>
      </c>
      <c r="D78" s="109">
        <v>180256.49248548312</v>
      </c>
      <c r="E78" s="109">
        <v>10</v>
      </c>
      <c r="F78" s="109">
        <v>690</v>
      </c>
      <c r="G78"/>
      <c r="H78" s="110">
        <v>139.02683181999998</v>
      </c>
      <c r="I78" s="110">
        <v>137.84602824999999</v>
      </c>
      <c r="J78" s="111">
        <f t="shared" si="11"/>
        <v>17</v>
      </c>
      <c r="K78" s="111">
        <f t="shared" si="11"/>
        <v>14</v>
      </c>
      <c r="L78"/>
      <c r="M78" s="112">
        <f t="shared" si="12"/>
        <v>3.8278787658955968</v>
      </c>
      <c r="N78" s="111">
        <f t="shared" si="13"/>
        <v>54</v>
      </c>
      <c r="O78" s="111">
        <f t="shared" si="14"/>
        <v>3</v>
      </c>
      <c r="P78" s="113">
        <f t="shared" si="15"/>
        <v>771.27225712103791</v>
      </c>
      <c r="Q78" s="111">
        <f t="shared" si="16"/>
        <v>11</v>
      </c>
      <c r="R78" s="112">
        <f t="shared" si="17"/>
        <v>0.85661051318683523</v>
      </c>
      <c r="S78" s="112">
        <f t="shared" si="18"/>
        <v>-3.0713591281373263</v>
      </c>
      <c r="T78" s="111">
        <f t="shared" si="10"/>
        <v>34</v>
      </c>
      <c r="U78" s="109"/>
    </row>
    <row r="79" spans="1:21" ht="14.5">
      <c r="A79" s="35">
        <v>75</v>
      </c>
      <c r="B79" s="107" t="s">
        <v>91</v>
      </c>
      <c r="C79" s="108">
        <v>44276</v>
      </c>
      <c r="D79" s="109">
        <v>32807.342308747051</v>
      </c>
      <c r="E79" s="109">
        <v>3</v>
      </c>
      <c r="F79" s="109">
        <v>150</v>
      </c>
      <c r="G79"/>
      <c r="H79" s="110">
        <v>10.78276681</v>
      </c>
      <c r="I79" s="110">
        <v>10.72893174</v>
      </c>
      <c r="J79" s="111">
        <f t="shared" si="11"/>
        <v>49</v>
      </c>
      <c r="K79" s="111">
        <f t="shared" si="11"/>
        <v>46</v>
      </c>
      <c r="L79"/>
      <c r="M79" s="112">
        <f t="shared" si="12"/>
        <v>4.5721472525376488</v>
      </c>
      <c r="N79" s="111">
        <f t="shared" si="13"/>
        <v>45</v>
      </c>
      <c r="O79" s="111">
        <f t="shared" si="14"/>
        <v>45</v>
      </c>
      <c r="P79" s="113">
        <f t="shared" si="15"/>
        <v>328.66931763397099</v>
      </c>
      <c r="Q79" s="111">
        <f t="shared" si="16"/>
        <v>51</v>
      </c>
      <c r="R79" s="112">
        <f t="shared" si="17"/>
        <v>0.5017747461221137</v>
      </c>
      <c r="S79" s="112">
        <f t="shared" si="18"/>
        <v>-3.4123754329616141</v>
      </c>
      <c r="T79" s="111">
        <f t="shared" si="10"/>
        <v>38</v>
      </c>
    </row>
    <row r="80" spans="1:21" ht="14.5">
      <c r="A80" s="35">
        <v>76</v>
      </c>
      <c r="B80" s="107" t="s">
        <v>92</v>
      </c>
      <c r="C80" s="108">
        <v>324087</v>
      </c>
      <c r="D80" s="109">
        <v>227848.5867722659</v>
      </c>
      <c r="E80" s="109">
        <v>14</v>
      </c>
      <c r="F80" s="109">
        <v>973</v>
      </c>
      <c r="G80"/>
      <c r="H80" s="110">
        <v>125.21306091</v>
      </c>
      <c r="I80" s="110">
        <v>124.90363206000001</v>
      </c>
      <c r="J80" s="111">
        <f t="shared" si="11"/>
        <v>6</v>
      </c>
      <c r="K80" s="111">
        <f t="shared" si="11"/>
        <v>2</v>
      </c>
      <c r="L80"/>
      <c r="M80" s="112">
        <f t="shared" si="12"/>
        <v>4.2703797894191506</v>
      </c>
      <c r="N80" s="111">
        <f t="shared" si="13"/>
        <v>51</v>
      </c>
      <c r="O80" s="111">
        <f t="shared" si="14"/>
        <v>7</v>
      </c>
      <c r="P80" s="113">
        <f t="shared" si="15"/>
        <v>549.54504078250068</v>
      </c>
      <c r="Q80" s="111">
        <f t="shared" si="16"/>
        <v>37</v>
      </c>
      <c r="R80" s="112">
        <f t="shared" si="17"/>
        <v>0.24773406897515088</v>
      </c>
      <c r="S80" s="112">
        <f t="shared" si="18"/>
        <v>-3.6565222215234159</v>
      </c>
      <c r="T80" s="111">
        <f t="shared" si="10"/>
        <v>42</v>
      </c>
      <c r="U80" s="109"/>
    </row>
    <row r="81" spans="1:90" ht="14.5">
      <c r="A81" s="35">
        <v>77</v>
      </c>
      <c r="B81" s="107" t="s">
        <v>155</v>
      </c>
      <c r="C81" s="108">
        <v>97448</v>
      </c>
      <c r="D81" s="109">
        <v>84436.747498387675</v>
      </c>
      <c r="E81" s="109">
        <v>7</v>
      </c>
      <c r="F81" s="109">
        <v>288</v>
      </c>
      <c r="G81"/>
      <c r="H81" s="110">
        <v>29.842339199999998</v>
      </c>
      <c r="I81" s="110">
        <v>30.41115237</v>
      </c>
      <c r="J81" s="111">
        <f t="shared" si="11"/>
        <v>31</v>
      </c>
      <c r="K81" s="111">
        <f t="shared" si="11"/>
        <v>34</v>
      </c>
      <c r="L81"/>
      <c r="M81" s="112">
        <f t="shared" si="12"/>
        <v>3.4108372069340942</v>
      </c>
      <c r="N81" s="111">
        <f t="shared" si="13"/>
        <v>59</v>
      </c>
      <c r="O81" s="111">
        <f t="shared" si="14"/>
        <v>33</v>
      </c>
      <c r="P81" s="113">
        <f t="shared" si="15"/>
        <v>353.42833640731885</v>
      </c>
      <c r="Q81" s="111">
        <f t="shared" si="16"/>
        <v>50</v>
      </c>
      <c r="R81" s="112">
        <f t="shared" si="17"/>
        <v>-1.8704097861188749</v>
      </c>
      <c r="S81" s="112">
        <f t="shared" si="18"/>
        <v>-5.6921726761706815</v>
      </c>
      <c r="T81" s="111">
        <f t="shared" si="10"/>
        <v>60</v>
      </c>
      <c r="U81" s="109"/>
    </row>
    <row r="82" spans="1:90" ht="14.5">
      <c r="A82" s="35">
        <v>78</v>
      </c>
      <c r="B82" s="107" t="s">
        <v>93</v>
      </c>
      <c r="C82" s="108">
        <v>158694</v>
      </c>
      <c r="D82" s="109">
        <v>120563.5241083869</v>
      </c>
      <c r="E82" s="109">
        <v>9</v>
      </c>
      <c r="F82" s="109">
        <v>452</v>
      </c>
      <c r="G82"/>
      <c r="H82" s="110">
        <v>30.596818289999998</v>
      </c>
      <c r="I82" s="110">
        <v>30.291015590000001</v>
      </c>
      <c r="J82" s="111">
        <f t="shared" si="11"/>
        <v>21</v>
      </c>
      <c r="K82" s="111">
        <f t="shared" si="11"/>
        <v>27</v>
      </c>
      <c r="L82"/>
      <c r="M82" s="112">
        <f t="shared" si="12"/>
        <v>3.7490609480994506</v>
      </c>
      <c r="N82" s="111">
        <f t="shared" si="13"/>
        <v>56</v>
      </c>
      <c r="O82" s="111">
        <f t="shared" si="14"/>
        <v>31</v>
      </c>
      <c r="P82" s="113">
        <f t="shared" si="15"/>
        <v>253.78171811312833</v>
      </c>
      <c r="Q82" s="111">
        <f t="shared" si="16"/>
        <v>59</v>
      </c>
      <c r="R82" s="112">
        <f t="shared" si="17"/>
        <v>1.0095491816423361</v>
      </c>
      <c r="S82" s="112">
        <f t="shared" si="18"/>
        <v>-2.9243768213285346</v>
      </c>
      <c r="T82" s="111">
        <f t="shared" si="10"/>
        <v>32</v>
      </c>
      <c r="U82" s="109"/>
    </row>
    <row r="83" spans="1:90" ht="14.5">
      <c r="A83" s="35">
        <v>79</v>
      </c>
      <c r="B83" s="107" t="s">
        <v>94</v>
      </c>
      <c r="C83" s="108">
        <v>6389</v>
      </c>
      <c r="D83" s="109">
        <v>4926.7972678446786</v>
      </c>
      <c r="E83" s="109">
        <v>0</v>
      </c>
      <c r="F83" s="109"/>
      <c r="G83"/>
      <c r="H83" s="110">
        <v>0</v>
      </c>
      <c r="I83" s="110">
        <v>0</v>
      </c>
      <c r="J83" s="111">
        <f t="shared" si="11"/>
        <v>71</v>
      </c>
      <c r="K83" s="111">
        <f t="shared" si="11"/>
        <v>71</v>
      </c>
      <c r="L83"/>
      <c r="M83" s="112">
        <f t="shared" si="12"/>
        <v>0</v>
      </c>
      <c r="N83" s="111">
        <f t="shared" si="13"/>
        <v>71</v>
      </c>
      <c r="O83" s="111">
        <f t="shared" si="14"/>
        <v>71</v>
      </c>
      <c r="P83" s="113">
        <f t="shared" si="15"/>
        <v>0</v>
      </c>
      <c r="Q83" s="111">
        <f t="shared" si="16"/>
        <v>71</v>
      </c>
      <c r="R83" s="112"/>
      <c r="S83" s="112">
        <v>0</v>
      </c>
      <c r="T83" s="111">
        <f t="shared" si="10"/>
        <v>13</v>
      </c>
    </row>
    <row r="84" spans="1:90" s="14" customFormat="1" ht="14.5">
      <c r="A84" s="35">
        <v>80</v>
      </c>
      <c r="B84" s="114" t="s">
        <v>572</v>
      </c>
      <c r="C84" s="13">
        <v>6815441</v>
      </c>
      <c r="D84" s="13">
        <v>5211819.8269482581</v>
      </c>
      <c r="E84" s="13">
        <f>SUM(E5:E83)</f>
        <v>488</v>
      </c>
      <c r="F84" s="13">
        <f>SUM(F5:F83)</f>
        <v>26377</v>
      </c>
      <c r="G84"/>
      <c r="H84" s="13">
        <f>SUM(H5:H83)</f>
        <v>3030.0262241400005</v>
      </c>
      <c r="I84" s="13">
        <f>SUM(I5:I83)</f>
        <v>3021.6648693199986</v>
      </c>
      <c r="J84" s="115" t="s">
        <v>569</v>
      </c>
      <c r="K84" s="115" t="s">
        <v>569</v>
      </c>
      <c r="L84"/>
      <c r="M84" s="116">
        <f t="shared" si="12"/>
        <v>5.0609961349037755</v>
      </c>
      <c r="N84" s="115" t="s">
        <v>569</v>
      </c>
      <c r="O84" s="115" t="s">
        <v>569</v>
      </c>
      <c r="P84" s="115">
        <f t="shared" si="15"/>
        <v>581.37585809719167</v>
      </c>
      <c r="Q84" s="115" t="s">
        <v>569</v>
      </c>
      <c r="R84" s="117">
        <f t="shared" si="17"/>
        <v>0.27671350667963263</v>
      </c>
      <c r="S84" s="117">
        <f t="shared" si="18"/>
        <v>-3.6286714193238034</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5116356</v>
      </c>
      <c r="D85" s="13">
        <v>3916959.361559886</v>
      </c>
      <c r="E85" s="13">
        <f>SUM(E8,E11,E13:E14,E17:E18,E22,E24,E26,E30,E35,E37,E39:E40,E44,E46:E49,E53:E54,E56:E57,E61,E63,E68,E77:E78,E80:E82)</f>
        <v>305</v>
      </c>
      <c r="F85" s="13">
        <f>SUM(F8,F11,F13:F14,F17:F18,F22,F24,F26,F30,F35,F37,F39:F40,F44,F46:F49,F53:F54,F56:F57,F61,F63,F68,F77:F78,F80:F82)</f>
        <v>18619</v>
      </c>
      <c r="G85"/>
      <c r="H85" s="13">
        <f>SUM(H8,H11,H13:H14,H17:H18,H22,H24,H26,H30,H35,H37,H39:H40,H44,H46:H49,H53:H54,H56:H57,H61,H63,H68,H77:H78,H80:H82)</f>
        <v>2337.4020994399993</v>
      </c>
      <c r="I85" s="13">
        <f>SUM(I8,I11,I13:I14,I17:I18,I22,I24,I26,I30,I35,I37,I39:I40,I44,I46:I49,I53:I54,I56:I57,I61,I63,I68,I77:I78,I80:I82)</f>
        <v>2329.6471933099997</v>
      </c>
      <c r="J85" s="115" t="s">
        <v>569</v>
      </c>
      <c r="K85" s="115" t="s">
        <v>569</v>
      </c>
      <c r="L85"/>
      <c r="M85" s="116">
        <f t="shared" si="12"/>
        <v>4.7534320071641458</v>
      </c>
      <c r="N85" s="115" t="s">
        <v>569</v>
      </c>
      <c r="O85" s="115" t="s">
        <v>569</v>
      </c>
      <c r="P85" s="115">
        <f t="shared" si="15"/>
        <v>596.73892008651183</v>
      </c>
      <c r="Q85" s="115" t="s">
        <v>569</v>
      </c>
      <c r="R85" s="117">
        <f t="shared" si="17"/>
        <v>0.33287899353469741</v>
      </c>
      <c r="S85" s="117">
        <f t="shared" si="18"/>
        <v>-3.5746933580240219</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mid-2024</v>
      </c>
      <c r="C92" s="65">
        <f>$E$8</f>
        <v>9</v>
      </c>
      <c r="D92" s="65">
        <f>$E$11</f>
        <v>4</v>
      </c>
      <c r="E92" s="65">
        <f>$E$13</f>
        <v>4</v>
      </c>
      <c r="F92" s="65">
        <f>$E$14</f>
        <v>17</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9</v>
      </c>
      <c r="T92" s="65">
        <f>$E$48</f>
        <v>10</v>
      </c>
      <c r="U92" s="65">
        <f>$E$49</f>
        <v>7</v>
      </c>
      <c r="V92" s="65">
        <f>$E$53</f>
        <v>15</v>
      </c>
      <c r="W92" s="65">
        <f>$E$54</f>
        <v>11</v>
      </c>
      <c r="X92" s="65">
        <f>$E$56</f>
        <v>12</v>
      </c>
      <c r="Y92" s="65">
        <f>$E$57</f>
        <v>17</v>
      </c>
      <c r="Z92" s="65">
        <f>$E$61</f>
        <v>2</v>
      </c>
      <c r="AA92" s="65">
        <f>$E$63</f>
        <v>10</v>
      </c>
      <c r="AB92" s="65">
        <f>$E$68</f>
        <v>4</v>
      </c>
      <c r="AC92" s="65">
        <f>$E$77</f>
        <v>6</v>
      </c>
      <c r="AD92" s="65">
        <f>$E$78</f>
        <v>10</v>
      </c>
      <c r="AE92" s="65">
        <f>$E$80</f>
        <v>14</v>
      </c>
      <c r="AF92" s="65">
        <f>$E$81</f>
        <v>7</v>
      </c>
      <c r="AG92" s="65">
        <f>$E$82</f>
        <v>9</v>
      </c>
    </row>
    <row r="93" spans="1:90" ht="23.25" customHeight="1">
      <c r="B93" s="64" t="str">
        <f>F4</f>
        <v>EGMs June 2024</v>
      </c>
      <c r="C93" s="65">
        <f>$F$8</f>
        <v>635</v>
      </c>
      <c r="D93" s="65">
        <f>$F$11</f>
        <v>138</v>
      </c>
      <c r="E93" s="65">
        <f>$F$13</f>
        <v>162</v>
      </c>
      <c r="F93" s="65">
        <f>$F$14</f>
        <v>953</v>
      </c>
      <c r="G93" s="65">
        <f>$F$17</f>
        <v>405</v>
      </c>
      <c r="H93" s="65">
        <f>$F$18</f>
        <v>913</v>
      </c>
      <c r="I93" s="65">
        <f>$F$22</f>
        <v>744</v>
      </c>
      <c r="J93" s="65">
        <f>$F$24</f>
        <v>519</v>
      </c>
      <c r="K93" s="65">
        <f>$F$26</f>
        <v>652</v>
      </c>
      <c r="L93" s="65">
        <f>$F$30</f>
        <v>928</v>
      </c>
      <c r="M93" s="65">
        <f>$F$35</f>
        <v>535</v>
      </c>
      <c r="N93" s="65">
        <f>$F$37</f>
        <v>833</v>
      </c>
      <c r="O93" s="65">
        <f>$F$39</f>
        <v>918</v>
      </c>
      <c r="P93" s="65">
        <f>$F$40</f>
        <v>771</v>
      </c>
      <c r="Q93" s="65">
        <f>$F$44</f>
        <v>462</v>
      </c>
      <c r="R93" s="65">
        <f>$F$46</f>
        <v>471</v>
      </c>
      <c r="S93" s="65">
        <f>$F$47</f>
        <v>640</v>
      </c>
      <c r="T93" s="65">
        <f>$F$48</f>
        <v>752</v>
      </c>
      <c r="U93" s="65">
        <f>$F$49</f>
        <v>523</v>
      </c>
      <c r="V93" s="65">
        <f>$F$53</f>
        <v>955</v>
      </c>
      <c r="W93" s="65">
        <f>$F$54</f>
        <v>746</v>
      </c>
      <c r="X93" s="65">
        <f>$F$56</f>
        <v>639</v>
      </c>
      <c r="Y93" s="65">
        <f>$F$57</f>
        <v>825</v>
      </c>
      <c r="Z93" s="65">
        <f>$F$61</f>
        <v>90</v>
      </c>
      <c r="AA93" s="65">
        <f>$F$63</f>
        <v>377</v>
      </c>
      <c r="AB93" s="65">
        <f>$F$68</f>
        <v>199</v>
      </c>
      <c r="AC93" s="65">
        <f>$F$77</f>
        <v>431</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23/24 ($Million)</v>
      </c>
      <c r="C95" s="65">
        <f>$H$8</f>
        <v>58.630345090000006</v>
      </c>
      <c r="D95" s="65">
        <f>$H$11</f>
        <v>12.380460230000001</v>
      </c>
      <c r="E95" s="65">
        <f>$H$13</f>
        <v>18.805362940000002</v>
      </c>
      <c r="F95" s="65">
        <f>$H$14</f>
        <v>171.66778249000001</v>
      </c>
      <c r="G95" s="65">
        <f>$H$17</f>
        <v>36.831475249999997</v>
      </c>
      <c r="H95" s="65">
        <f>$H$18</f>
        <v>158.43528913</v>
      </c>
      <c r="I95" s="65">
        <f>$H$22</f>
        <v>84.552235280000005</v>
      </c>
      <c r="J95" s="65">
        <f>$H$24</f>
        <v>65.795232350000006</v>
      </c>
      <c r="K95" s="65">
        <f>$H$26</f>
        <v>71.755193090000006</v>
      </c>
      <c r="L95" s="65">
        <f>$H$30</f>
        <v>137.92317052999999</v>
      </c>
      <c r="M95" s="65">
        <f>$H$35</f>
        <v>46.936040490000003</v>
      </c>
      <c r="N95" s="65">
        <f>$H$37</f>
        <v>138.01629480000003</v>
      </c>
      <c r="O95" s="65">
        <f>$H$39</f>
        <v>86.299825290000001</v>
      </c>
      <c r="P95" s="65">
        <f>$H$40</f>
        <v>76.623268159999995</v>
      </c>
      <c r="Q95" s="65">
        <f>$H$44</f>
        <v>58.047020799999999</v>
      </c>
      <c r="R95" s="65">
        <f>$H$46</f>
        <v>66.253194450000009</v>
      </c>
      <c r="S95" s="65">
        <f>$H$47</f>
        <v>63.9686424</v>
      </c>
      <c r="T95" s="65">
        <f>$H$48</f>
        <v>95.137726950000001</v>
      </c>
      <c r="U95" s="65">
        <f>$H$49</f>
        <v>90.271752750000005</v>
      </c>
      <c r="V95" s="65">
        <f>$H$53</f>
        <v>121.41768802</v>
      </c>
      <c r="W95" s="65">
        <f>$H$54</f>
        <v>85.434267050000003</v>
      </c>
      <c r="X95" s="65">
        <f>$H$56</f>
        <v>61.43868097</v>
      </c>
      <c r="Y95" s="65">
        <f>$H$57</f>
        <v>87.818238919999999</v>
      </c>
      <c r="Z95" s="65">
        <f>$H$61</f>
        <v>9.3688699999999994</v>
      </c>
      <c r="AA95" s="65">
        <f>$H$63</f>
        <v>29.44278323</v>
      </c>
      <c r="AB95" s="65">
        <f>$H$68</f>
        <v>19.809877190000002</v>
      </c>
      <c r="AC95" s="65">
        <f>$H$77</f>
        <v>59.662331369999997</v>
      </c>
      <c r="AD95" s="65">
        <f>$H$78</f>
        <v>139.02683181999998</v>
      </c>
      <c r="AE95" s="65">
        <f>$H$80</f>
        <v>125.21306091</v>
      </c>
      <c r="AF95" s="65">
        <f>$H$81</f>
        <v>29.842339199999998</v>
      </c>
      <c r="AG95" s="65">
        <f>$H$82</f>
        <v>30.596818289999998</v>
      </c>
    </row>
    <row r="96" spans="1:90" ht="23.25" customHeight="1">
      <c r="B96" s="64" t="str">
        <f>M4</f>
        <v>EGMs per 1,000 adults:
 2023</v>
      </c>
      <c r="C96" s="65">
        <f>$M$8</f>
        <v>6.419572757628611</v>
      </c>
      <c r="D96" s="65">
        <f>$M$11</f>
        <v>1.7559591482770145</v>
      </c>
      <c r="E96" s="65">
        <f>$M$13</f>
        <v>1.2070141147634239</v>
      </c>
      <c r="F96" s="65">
        <f>$M$14</f>
        <v>6.2626859085732791</v>
      </c>
      <c r="G96" s="65">
        <f>$M$17</f>
        <v>4.4283798725118242</v>
      </c>
      <c r="H96" s="65">
        <f>$M$18</f>
        <v>3.224063991838825</v>
      </c>
      <c r="I96" s="65">
        <f>$M$22</f>
        <v>5.9756370530437986</v>
      </c>
      <c r="J96" s="65">
        <f>$M$24</f>
        <v>4.775723418992972</v>
      </c>
      <c r="K96" s="65">
        <f>$M$26</f>
        <v>5.3964180945843463</v>
      </c>
      <c r="L96" s="65">
        <f>$M$30</f>
        <v>7.3304526707526447</v>
      </c>
      <c r="M96" s="65">
        <f>$M$35</f>
        <v>7.4938166331224876</v>
      </c>
      <c r="N96" s="65">
        <f>$M$37</f>
        <v>4.363405449083948</v>
      </c>
      <c r="O96" s="65">
        <f>$M$39</f>
        <v>7.2884182185041579</v>
      </c>
      <c r="P96" s="65">
        <f>$M$40</f>
        <v>6.1798190122561589</v>
      </c>
      <c r="Q96" s="65">
        <f>$M$44</f>
        <v>4.6748893098799673</v>
      </c>
      <c r="R96" s="65">
        <f>$M$46</f>
        <v>6.3494847871190307</v>
      </c>
      <c r="S96" s="65">
        <f>$M$47</f>
        <v>7.1891174103904545</v>
      </c>
      <c r="T96" s="65">
        <f>$M$48</f>
        <v>4.7356985229535313</v>
      </c>
      <c r="U96" s="65">
        <f>$M$49</f>
        <v>3.5569707933488695</v>
      </c>
      <c r="V96" s="65">
        <f>$M$53</f>
        <v>6.0532327876406571</v>
      </c>
      <c r="W96" s="65">
        <f>$M$54</f>
        <v>7.5311290161959832</v>
      </c>
      <c r="X96" s="65">
        <f>$M$56</f>
        <v>4.4180769243425813</v>
      </c>
      <c r="Y96" s="65">
        <f>$M$57</f>
        <v>6.3001906547965865</v>
      </c>
      <c r="Z96" s="65">
        <f>$M$61</f>
        <v>1.8796013289038338</v>
      </c>
      <c r="AA96" s="65">
        <f>$M$63</f>
        <v>4.0300721605741829</v>
      </c>
      <c r="AB96" s="65">
        <f>$M$68</f>
        <v>2.1402898584847598</v>
      </c>
      <c r="AC96" s="65">
        <f>$M$77</f>
        <v>3.117524318821173</v>
      </c>
      <c r="AD96" s="65">
        <f>$M$78</f>
        <v>3.8278787658955968</v>
      </c>
      <c r="AE96" s="65">
        <f>$M$80</f>
        <v>4.2703797894191506</v>
      </c>
      <c r="AF96" s="65">
        <f>$M$81</f>
        <v>3.4108372069340942</v>
      </c>
      <c r="AG96" s="65">
        <f>$M$82</f>
        <v>3.7490609480994506</v>
      </c>
    </row>
    <row r="97" spans="2:33" ht="23.25" customHeight="1">
      <c r="B97" s="64" t="str">
        <f>P4</f>
        <v>Losses per adult: 2023/24</v>
      </c>
      <c r="C97" s="65">
        <f>$P$8</f>
        <v>592.72719072461166</v>
      </c>
      <c r="D97" s="65">
        <f>$P$11</f>
        <v>157.53320580252355</v>
      </c>
      <c r="E97" s="65">
        <f>$P$13</f>
        <v>140.11320062857408</v>
      </c>
      <c r="F97" s="65">
        <f>$P$14</f>
        <v>1128.1231923988937</v>
      </c>
      <c r="G97" s="65">
        <f>$P$17</f>
        <v>402.72534240004296</v>
      </c>
      <c r="H97" s="65">
        <f>$P$18</f>
        <v>559.48029651764091</v>
      </c>
      <c r="I97" s="65">
        <f>$P$22</f>
        <v>679.10412642049073</v>
      </c>
      <c r="J97" s="65">
        <f>$P$24</f>
        <v>605.43320229668416</v>
      </c>
      <c r="K97" s="65">
        <f>$P$26</f>
        <v>593.89727357556706</v>
      </c>
      <c r="L97" s="65">
        <f>$P$30</f>
        <v>1089.4819760455937</v>
      </c>
      <c r="M97" s="65">
        <f>$P$35</f>
        <v>657.43940358293946</v>
      </c>
      <c r="N97" s="65">
        <f>$P$37</f>
        <v>722.95444512928759</v>
      </c>
      <c r="O97" s="65">
        <f>$P$39</f>
        <v>685.1734410646643</v>
      </c>
      <c r="P97" s="65">
        <f>$P$40</f>
        <v>614.16073846481186</v>
      </c>
      <c r="Q97" s="65">
        <f>$P$44</f>
        <v>587.36666019112567</v>
      </c>
      <c r="R97" s="65">
        <f>$P$46</f>
        <v>893.15000054843745</v>
      </c>
      <c r="S97" s="65">
        <f>$P$47</f>
        <v>718.55950124512663</v>
      </c>
      <c r="T97" s="65">
        <f>$P$48</f>
        <v>599.127118343446</v>
      </c>
      <c r="U97" s="65">
        <f>$P$49</f>
        <v>613.94643976321311</v>
      </c>
      <c r="V97" s="65">
        <f>$P$53</f>
        <v>769.60160222218656</v>
      </c>
      <c r="W97" s="65">
        <f>$P$54</f>
        <v>862.48858921942553</v>
      </c>
      <c r="X97" s="65">
        <f>$P$56</f>
        <v>424.79001354554413</v>
      </c>
      <c r="Y97" s="65">
        <f>$P$57</f>
        <v>670.6323008054278</v>
      </c>
      <c r="Z97" s="65">
        <f>$P$61</f>
        <v>195.66378335919177</v>
      </c>
      <c r="AA97" s="65">
        <f>$P$63</f>
        <v>314.73883561019477</v>
      </c>
      <c r="AB97" s="65">
        <f>$P$68</f>
        <v>213.05969471148532</v>
      </c>
      <c r="AC97" s="65">
        <f>$P$77</f>
        <v>431.55166812886853</v>
      </c>
      <c r="AD97" s="65">
        <f>$P$78</f>
        <v>771.27225712103791</v>
      </c>
      <c r="AE97" s="65">
        <f>$P$80</f>
        <v>549.54504078250068</v>
      </c>
      <c r="AF97" s="65">
        <f>$P$81</f>
        <v>353.42833640731885</v>
      </c>
      <c r="AG97" s="65">
        <f>$P$82</f>
        <v>253.78171811312833</v>
      </c>
    </row>
    <row r="98" spans="2:33" ht="21">
      <c r="B98" s="64" t="str">
        <f>R4</f>
        <v>Per cent change in losses: 
 2022/23 to 2023/24</v>
      </c>
      <c r="C98" s="65">
        <f>$R$8</f>
        <v>2.5545007682872636</v>
      </c>
      <c r="D98" s="65">
        <f>$R$11</f>
        <v>-10.844408922439072</v>
      </c>
      <c r="E98" s="65">
        <f>$R$13</f>
        <v>4.4440473458165965E-2</v>
      </c>
      <c r="F98" s="65">
        <f>$R$14</f>
        <v>-0.7103182468025292</v>
      </c>
      <c r="G98" s="65">
        <f>$R$17</f>
        <v>5.1076882190376915</v>
      </c>
      <c r="H98" s="65">
        <f>$R$18</f>
        <v>-0.50557164249623776</v>
      </c>
      <c r="I98" s="65">
        <f>$R$22</f>
        <v>-1.4968722653409716</v>
      </c>
      <c r="J98" s="65">
        <f>$R$24</f>
        <v>-2.7678330547899135</v>
      </c>
      <c r="K98" s="65">
        <f>$R$26</f>
        <v>1.7814607878868265</v>
      </c>
      <c r="L98" s="65">
        <f>$R$30</f>
        <v>0.38232898606172633</v>
      </c>
      <c r="M98" s="65">
        <f>$R$35</f>
        <v>-2.1154124122634732</v>
      </c>
      <c r="N98" s="65">
        <f>$R$37</f>
        <v>-0.72973516078752987</v>
      </c>
      <c r="O98" s="65">
        <f>$R$39</f>
        <v>0.34257944523452455</v>
      </c>
      <c r="P98" s="65">
        <f>$R$40</f>
        <v>-2.1445405138244658</v>
      </c>
      <c r="Q98" s="65">
        <f>$R$44</f>
        <v>-3.8293458475343205</v>
      </c>
      <c r="R98" s="65">
        <f>$R$46</f>
        <v>0.20220648522199003</v>
      </c>
      <c r="S98" s="65">
        <f>$R$47</f>
        <v>2.7051578606199023</v>
      </c>
      <c r="T98" s="65">
        <f>$R$48</f>
        <v>10.208295716618652</v>
      </c>
      <c r="U98" s="65">
        <f>$R$49</f>
        <v>4.0684171862566929</v>
      </c>
      <c r="V98" s="65">
        <f>$R$53</f>
        <v>-0.88418549175305561</v>
      </c>
      <c r="W98" s="65">
        <f>$R$54</f>
        <v>0.27775572131415821</v>
      </c>
      <c r="X98" s="65">
        <f>$R$56</f>
        <v>-1.0066661176887239</v>
      </c>
      <c r="Y98" s="65">
        <f>$R$57</f>
        <v>-2.7957887979219072</v>
      </c>
      <c r="Z98" s="65">
        <f>$R$61</f>
        <v>-2.4161664365130906</v>
      </c>
      <c r="AA98" s="65">
        <f>$R$63</f>
        <v>3.3274583223498175</v>
      </c>
      <c r="AB98" s="65">
        <f>$R$68</f>
        <v>-2.5445827218027386</v>
      </c>
      <c r="AC98" s="65">
        <f>$R$77</f>
        <v>6.3223887727397257</v>
      </c>
      <c r="AD98" s="65">
        <f>$R$78</f>
        <v>0.85661051318683523</v>
      </c>
      <c r="AE98" s="65">
        <f>$R$80</f>
        <v>0.24773406897515088</v>
      </c>
      <c r="AF98" s="65">
        <f>$R$81</f>
        <v>-1.8704097861188749</v>
      </c>
      <c r="AG98" s="65">
        <f>$R$82</f>
        <v>1.0095491816423361</v>
      </c>
    </row>
    <row r="99" spans="2:33" ht="31.5">
      <c r="B99" s="64" t="str">
        <f>S4</f>
        <v>Per cent change in losses adjusted for inflation: 
 2022/23 to 2023/24</v>
      </c>
      <c r="C99" s="65">
        <f>$S$8</f>
        <v>-1.4395950430757332</v>
      </c>
      <c r="D99" s="65">
        <f>$S$11</f>
        <v>-14.316669722450619</v>
      </c>
      <c r="E99" s="65">
        <f>$S$13</f>
        <v>-3.851898328366103</v>
      </c>
      <c r="F99" s="65">
        <f>$S$14</f>
        <v>-4.5772621549790395</v>
      </c>
      <c r="G99" s="65">
        <f>$S$17</f>
        <v>1.0141557644628345</v>
      </c>
      <c r="H99" s="65">
        <f>$S$18</f>
        <v>-4.3804896283438763</v>
      </c>
      <c r="I99" s="65">
        <f>$S$22</f>
        <v>-5.3331829776331299</v>
      </c>
      <c r="J99" s="65">
        <f>$S$24</f>
        <v>-6.5546448262504704</v>
      </c>
      <c r="K99" s="65">
        <f>$S$26</f>
        <v>-2.1825281464049184</v>
      </c>
      <c r="L99" s="65">
        <f>$S$30</f>
        <v>-3.5271692488716395</v>
      </c>
      <c r="M99" s="65">
        <f>$S$35</f>
        <v>-5.9276334103892774</v>
      </c>
      <c r="N99" s="65">
        <f>$S$37</f>
        <v>-4.5959228562748207</v>
      </c>
      <c r="O99" s="65">
        <f>$S$39</f>
        <v>-3.5653707008940403</v>
      </c>
      <c r="P99" s="65">
        <f>$S$40</f>
        <v>-5.9556270865709102</v>
      </c>
      <c r="Q99" s="65">
        <f>$S$44</f>
        <v>-7.574815856639777</v>
      </c>
      <c r="R99" s="65">
        <f>$S$46</f>
        <v>-3.7002766843485921</v>
      </c>
      <c r="S99" s="65">
        <f>$S$47</f>
        <v>-1.2948054539431442</v>
      </c>
      <c r="T99" s="65">
        <f>$S$48</f>
        <v>5.9161145933956476</v>
      </c>
      <c r="U99" s="65">
        <f>$S$49</f>
        <v>1.5360264669712466E-2</v>
      </c>
      <c r="V99" s="65">
        <f>$S$53</f>
        <v>-4.7443579522642887</v>
      </c>
      <c r="W99" s="65">
        <f>$S$54</f>
        <v>-3.6276697948640044</v>
      </c>
      <c r="X99" s="65">
        <f>$S$56</f>
        <v>-4.8620684379198247</v>
      </c>
      <c r="Y99" s="65">
        <f>$S$57</f>
        <v>-6.5815118027685093</v>
      </c>
      <c r="Z99" s="65">
        <f>$S$61</f>
        <v>-6.2166742442912488</v>
      </c>
      <c r="AA99" s="65">
        <f>$S$63</f>
        <v>-0.69674115590165764</v>
      </c>
      <c r="AB99" s="65">
        <f>$S$68</f>
        <v>-6.340089218635554</v>
      </c>
      <c r="AC99" s="65">
        <f>$S$77</f>
        <v>2.1815484929864981</v>
      </c>
      <c r="AD99" s="65">
        <f>$S$78</f>
        <v>-3.0713591281373263</v>
      </c>
      <c r="AE99" s="65">
        <f>$S$80</f>
        <v>-3.6565222215234159</v>
      </c>
      <c r="AF99" s="65">
        <f>$S$81</f>
        <v>-5.6921726761706815</v>
      </c>
      <c r="AG99" s="65">
        <f>$S$82</f>
        <v>-2.9243768213285346</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7" t="s">
        <v>562</v>
      </c>
      <c r="B1" s="158"/>
      <c r="C1" s="159"/>
      <c r="D1" s="40"/>
      <c r="E1" s="90"/>
      <c r="F1" s="94"/>
      <c r="G1" s="94"/>
      <c r="H1" s="42"/>
      <c r="I1" s="42"/>
      <c r="J1" s="195" t="s">
        <v>563</v>
      </c>
      <c r="K1" s="195"/>
      <c r="L1" s="195"/>
      <c r="M1" s="195"/>
      <c r="N1" s="195"/>
      <c r="O1" s="195"/>
      <c r="P1" s="195"/>
      <c r="Q1" s="195"/>
    </row>
    <row r="2" spans="1:19" ht="19.5" customHeight="1">
      <c r="A2" s="41"/>
      <c r="B2" s="40"/>
      <c r="C2" s="41"/>
      <c r="D2" s="40"/>
      <c r="E2" s="90"/>
      <c r="F2" s="94"/>
      <c r="G2" s="94"/>
      <c r="H2" s="42"/>
      <c r="I2" s="42"/>
      <c r="J2" s="43" t="s">
        <v>564</v>
      </c>
      <c r="K2" s="40"/>
      <c r="L2" s="44"/>
      <c r="M2" s="44"/>
      <c r="N2" s="44"/>
      <c r="Q2" s="43" t="s">
        <v>596</v>
      </c>
    </row>
    <row r="3" spans="1:19" ht="31.5">
      <c r="A3" s="160" t="s">
        <v>565</v>
      </c>
      <c r="B3" s="161" t="s">
        <v>556</v>
      </c>
      <c r="C3" s="160" t="s">
        <v>566</v>
      </c>
      <c r="D3" s="161" t="s">
        <v>601</v>
      </c>
      <c r="E3" s="162" t="s">
        <v>658</v>
      </c>
      <c r="F3" s="163" t="s">
        <v>659</v>
      </c>
      <c r="G3" s="163"/>
      <c r="J3" s="40"/>
      <c r="K3" s="164" t="s">
        <v>576</v>
      </c>
      <c r="L3" s="164" t="s">
        <v>577</v>
      </c>
      <c r="M3" s="164" t="s">
        <v>592</v>
      </c>
      <c r="N3" s="164" t="s">
        <v>162</v>
      </c>
      <c r="R3" s="45" t="s">
        <v>576</v>
      </c>
      <c r="S3" s="45" t="s">
        <v>592</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602</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603</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604</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593</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605</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606</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607</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608</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609</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600</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610</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611</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612</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660</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613</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614</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615</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616</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617</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618</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594</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619</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620</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621</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622</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623</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624</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625</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595</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626</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627</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628</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629</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630</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660</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631</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660</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632</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633</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634</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635</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636</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637</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638</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639</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660</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640</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641</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642</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643</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644</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645</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660</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646</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647</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648</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649</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661</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662</v>
      </c>
      <c r="B411" s="47" t="s">
        <v>550</v>
      </c>
      <c r="C411" s="39" t="s">
        <v>115</v>
      </c>
      <c r="D411" s="47" t="s">
        <v>547</v>
      </c>
      <c r="E411" s="92">
        <v>2548523</v>
      </c>
      <c r="F411" s="96">
        <v>60</v>
      </c>
      <c r="G411" s="96">
        <v>1</v>
      </c>
      <c r="J411" s="42"/>
      <c r="K411" s="37"/>
      <c r="L411" s="37"/>
      <c r="M411" s="44"/>
      <c r="N411" s="44"/>
      <c r="O411" s="44"/>
      <c r="P411" s="44"/>
      <c r="Q411" s="40"/>
    </row>
    <row r="412" spans="1:17">
      <c r="A412" s="39" t="s">
        <v>663</v>
      </c>
      <c r="B412" s="47" t="s">
        <v>550</v>
      </c>
      <c r="C412" s="39" t="s">
        <v>115</v>
      </c>
      <c r="D412" s="47" t="s">
        <v>547</v>
      </c>
      <c r="E412" s="92">
        <v>3262049</v>
      </c>
      <c r="F412" s="96">
        <v>40</v>
      </c>
      <c r="G412" s="96">
        <v>1</v>
      </c>
      <c r="J412" s="42"/>
      <c r="K412" s="37"/>
      <c r="L412" s="37"/>
      <c r="M412" s="44"/>
      <c r="N412" s="44"/>
      <c r="O412" s="44"/>
      <c r="P412" s="44"/>
      <c r="Q412" s="40"/>
    </row>
    <row r="413" spans="1:17">
      <c r="A413" s="39" t="s">
        <v>664</v>
      </c>
      <c r="B413" s="47" t="s">
        <v>548</v>
      </c>
      <c r="C413" s="39" t="s">
        <v>124</v>
      </c>
      <c r="D413" s="47" t="s">
        <v>549</v>
      </c>
      <c r="E413" s="92">
        <v>3867667</v>
      </c>
      <c r="F413" s="96">
        <v>50</v>
      </c>
      <c r="G413" s="96">
        <v>1</v>
      </c>
      <c r="J413" s="42"/>
      <c r="K413" s="37"/>
      <c r="L413" s="37"/>
      <c r="M413" s="44"/>
      <c r="N413" s="44"/>
      <c r="O413" s="44"/>
      <c r="P413" s="44"/>
      <c r="Q413" s="40"/>
    </row>
    <row r="414" spans="1:17">
      <c r="A414" s="39" t="s">
        <v>665</v>
      </c>
      <c r="B414" s="47" t="s">
        <v>548</v>
      </c>
      <c r="C414" s="39" t="s">
        <v>154</v>
      </c>
      <c r="D414" s="47" t="s">
        <v>547</v>
      </c>
      <c r="E414" s="92">
        <v>8942310</v>
      </c>
      <c r="F414" s="96">
        <v>80</v>
      </c>
      <c r="G414" s="96">
        <v>1</v>
      </c>
      <c r="J414" s="42"/>
      <c r="K414" s="37"/>
      <c r="L414" s="37"/>
      <c r="M414" s="44"/>
      <c r="N414" s="44"/>
      <c r="O414" s="44"/>
      <c r="P414" s="44"/>
      <c r="Q414" s="40"/>
    </row>
    <row r="415" spans="1:17">
      <c r="A415" s="39" t="s">
        <v>666</v>
      </c>
      <c r="B415" s="47" t="s">
        <v>548</v>
      </c>
      <c r="C415" s="39" t="s">
        <v>139</v>
      </c>
      <c r="D415" s="47" t="s">
        <v>547</v>
      </c>
      <c r="E415" s="92">
        <v>1364699</v>
      </c>
      <c r="F415" s="96">
        <v>43</v>
      </c>
      <c r="G415" s="96">
        <v>1</v>
      </c>
      <c r="J415" s="42"/>
      <c r="K415" s="37"/>
      <c r="L415" s="37"/>
      <c r="M415" s="44"/>
      <c r="N415" s="44"/>
      <c r="O415" s="44"/>
      <c r="P415" s="44"/>
      <c r="Q415" s="40"/>
    </row>
    <row r="416" spans="1:17">
      <c r="A416" s="39" t="s">
        <v>667</v>
      </c>
      <c r="B416" s="47" t="s">
        <v>548</v>
      </c>
      <c r="C416" s="39" t="s">
        <v>112</v>
      </c>
      <c r="D416" s="47" t="s">
        <v>549</v>
      </c>
      <c r="E416" s="92">
        <v>5422868</v>
      </c>
      <c r="F416" s="96">
        <v>50</v>
      </c>
      <c r="G416" s="96">
        <v>1</v>
      </c>
      <c r="J416" s="42"/>
      <c r="K416" s="37"/>
      <c r="L416" s="37"/>
      <c r="M416" s="44"/>
      <c r="N416" s="44"/>
      <c r="O416" s="44"/>
      <c r="P416" s="44"/>
      <c r="Q416" s="40"/>
    </row>
    <row r="417" spans="1:17">
      <c r="A417" s="39" t="s">
        <v>668</v>
      </c>
      <c r="B417" s="47" t="s">
        <v>548</v>
      </c>
      <c r="C417" s="39" t="s">
        <v>31</v>
      </c>
      <c r="D417" s="47" t="s">
        <v>549</v>
      </c>
      <c r="E417" s="92">
        <v>18181458</v>
      </c>
      <c r="F417" s="96">
        <v>90</v>
      </c>
      <c r="G417" s="96">
        <v>1</v>
      </c>
      <c r="J417" s="42"/>
      <c r="K417" s="37"/>
      <c r="L417" s="37"/>
      <c r="M417" s="44"/>
      <c r="N417" s="44"/>
      <c r="O417" s="44"/>
      <c r="P417" s="44"/>
      <c r="Q417" s="40"/>
    </row>
    <row r="418" spans="1:17">
      <c r="A418" s="39" t="s">
        <v>669</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670</v>
      </c>
      <c r="B420" s="47" t="s">
        <v>548</v>
      </c>
      <c r="C420" s="39" t="s">
        <v>131</v>
      </c>
      <c r="D420" s="47" t="s">
        <v>547</v>
      </c>
      <c r="E420" s="92">
        <v>5318613</v>
      </c>
      <c r="F420" s="96">
        <v>90</v>
      </c>
      <c r="G420" s="96">
        <v>1</v>
      </c>
      <c r="J420" s="42"/>
      <c r="K420" s="37"/>
      <c r="L420" s="37"/>
      <c r="M420" s="44"/>
      <c r="N420" s="44"/>
      <c r="O420" s="44"/>
      <c r="P420" s="44"/>
      <c r="Q420" s="40"/>
    </row>
    <row r="421" spans="1:17">
      <c r="A421" s="39" t="s">
        <v>671</v>
      </c>
      <c r="B421" s="47" t="s">
        <v>548</v>
      </c>
      <c r="C421" s="39" t="s">
        <v>124</v>
      </c>
      <c r="D421" s="47" t="s">
        <v>549</v>
      </c>
      <c r="E421" s="92">
        <v>8008074</v>
      </c>
      <c r="F421" s="96">
        <v>53</v>
      </c>
      <c r="G421" s="96">
        <v>1</v>
      </c>
      <c r="J421" s="42"/>
      <c r="K421" s="37"/>
      <c r="L421" s="37"/>
      <c r="M421" s="44"/>
      <c r="N421" s="44"/>
      <c r="O421" s="44"/>
      <c r="P421" s="44"/>
      <c r="Q421" s="40"/>
    </row>
    <row r="422" spans="1:17">
      <c r="A422" s="39" t="s">
        <v>672</v>
      </c>
      <c r="B422" s="47" t="s">
        <v>548</v>
      </c>
      <c r="C422" s="39" t="s">
        <v>112</v>
      </c>
      <c r="D422" s="47" t="s">
        <v>547</v>
      </c>
      <c r="E422" s="92">
        <v>1015961</v>
      </c>
      <c r="F422" s="96">
        <v>32</v>
      </c>
      <c r="G422" s="96">
        <v>1</v>
      </c>
      <c r="J422" s="42"/>
      <c r="K422" s="37"/>
      <c r="L422" s="37"/>
      <c r="M422" s="44"/>
      <c r="N422" s="44"/>
      <c r="O422" s="44"/>
      <c r="P422" s="44"/>
      <c r="Q422" s="40"/>
    </row>
    <row r="423" spans="1:17">
      <c r="A423" s="39" t="s">
        <v>673</v>
      </c>
      <c r="B423" s="47" t="s">
        <v>550</v>
      </c>
      <c r="C423" s="39" t="s">
        <v>115</v>
      </c>
      <c r="D423" s="47" t="s">
        <v>549</v>
      </c>
      <c r="E423" s="92">
        <v>1620081</v>
      </c>
      <c r="F423" s="96">
        <v>25</v>
      </c>
      <c r="G423" s="96">
        <v>1</v>
      </c>
      <c r="J423" s="42"/>
      <c r="K423" s="37"/>
      <c r="L423" s="37"/>
      <c r="M423" s="44"/>
      <c r="N423" s="44"/>
      <c r="O423" s="44"/>
      <c r="P423" s="44"/>
      <c r="Q423" s="40"/>
    </row>
    <row r="424" spans="1:17">
      <c r="A424" s="39" t="s">
        <v>674</v>
      </c>
      <c r="B424" s="47" t="s">
        <v>548</v>
      </c>
      <c r="C424" s="39" t="s">
        <v>156</v>
      </c>
      <c r="D424" s="47" t="s">
        <v>547</v>
      </c>
      <c r="E424" s="92">
        <v>6842991</v>
      </c>
      <c r="F424" s="96">
        <v>80</v>
      </c>
      <c r="G424" s="96">
        <v>1</v>
      </c>
      <c r="J424" s="42"/>
      <c r="K424" s="37"/>
      <c r="L424" s="37"/>
      <c r="M424" s="44"/>
      <c r="N424" s="44"/>
      <c r="O424" s="44"/>
      <c r="P424" s="44"/>
      <c r="Q424" s="40"/>
    </row>
    <row r="425" spans="1:17">
      <c r="A425" s="39" t="s">
        <v>675</v>
      </c>
      <c r="B425" s="47" t="s">
        <v>548</v>
      </c>
      <c r="C425" s="39" t="s">
        <v>116</v>
      </c>
      <c r="D425" s="47" t="s">
        <v>549</v>
      </c>
      <c r="E425" s="92" t="s">
        <v>660</v>
      </c>
      <c r="F425" s="96">
        <v>0</v>
      </c>
      <c r="G425" s="96">
        <v>1</v>
      </c>
      <c r="J425" s="42"/>
      <c r="K425" s="37"/>
      <c r="L425" s="37"/>
      <c r="M425" s="44"/>
      <c r="N425" s="44"/>
      <c r="O425" s="44"/>
      <c r="P425" s="44"/>
      <c r="Q425" s="40"/>
    </row>
    <row r="426" spans="1:17">
      <c r="A426" s="39" t="s">
        <v>676</v>
      </c>
      <c r="B426" s="47" t="s">
        <v>550</v>
      </c>
      <c r="C426" s="39" t="s">
        <v>110</v>
      </c>
      <c r="D426" s="47" t="s">
        <v>547</v>
      </c>
      <c r="E426" s="92">
        <v>3773625</v>
      </c>
      <c r="F426" s="96">
        <v>41</v>
      </c>
      <c r="G426" s="96">
        <v>1</v>
      </c>
      <c r="J426" s="42"/>
      <c r="K426" s="37"/>
      <c r="L426" s="37"/>
      <c r="M426" s="44"/>
      <c r="N426" s="44"/>
      <c r="O426" s="44"/>
      <c r="P426" s="44"/>
      <c r="Q426" s="40"/>
    </row>
    <row r="427" spans="1:17">
      <c r="A427" s="39" t="s">
        <v>677</v>
      </c>
      <c r="B427" s="47" t="s">
        <v>548</v>
      </c>
      <c r="C427" s="39" t="s">
        <v>132</v>
      </c>
      <c r="D427" s="47" t="s">
        <v>547</v>
      </c>
      <c r="E427" s="92">
        <v>9000548</v>
      </c>
      <c r="F427" s="96">
        <v>76</v>
      </c>
      <c r="G427" s="96">
        <v>1</v>
      </c>
      <c r="J427" s="42"/>
      <c r="K427" s="37"/>
      <c r="L427" s="37"/>
      <c r="M427" s="44"/>
      <c r="N427" s="44"/>
      <c r="O427" s="44"/>
      <c r="P427" s="44"/>
      <c r="Q427" s="40"/>
    </row>
    <row r="428" spans="1:17">
      <c r="A428" s="39" t="s">
        <v>678</v>
      </c>
      <c r="B428" s="47" t="s">
        <v>548</v>
      </c>
      <c r="C428" s="39" t="s">
        <v>137</v>
      </c>
      <c r="D428" s="47" t="s">
        <v>547</v>
      </c>
      <c r="E428" s="92">
        <v>2700146</v>
      </c>
      <c r="F428" s="96">
        <v>50</v>
      </c>
      <c r="G428" s="96">
        <v>1</v>
      </c>
      <c r="J428" s="42"/>
      <c r="K428" s="37"/>
      <c r="L428" s="37"/>
      <c r="M428" s="44"/>
      <c r="N428" s="44"/>
      <c r="O428" s="44"/>
      <c r="P428" s="44"/>
      <c r="Q428" s="40"/>
    </row>
    <row r="429" spans="1:17">
      <c r="A429" s="39" t="s">
        <v>679</v>
      </c>
      <c r="B429" s="47" t="s">
        <v>550</v>
      </c>
      <c r="C429" s="39" t="s">
        <v>150</v>
      </c>
      <c r="D429" s="47" t="s">
        <v>549</v>
      </c>
      <c r="E429" s="92">
        <v>2333905</v>
      </c>
      <c r="F429" s="96">
        <v>35</v>
      </c>
      <c r="G429" s="96">
        <v>1</v>
      </c>
      <c r="J429" s="42"/>
      <c r="K429" s="37"/>
      <c r="L429" s="37"/>
      <c r="M429" s="44"/>
      <c r="N429" s="44"/>
      <c r="O429" s="44"/>
      <c r="P429" s="44"/>
      <c r="Q429" s="40"/>
    </row>
    <row r="430" spans="1:17">
      <c r="A430" s="39" t="s">
        <v>680</v>
      </c>
      <c r="B430" s="47" t="s">
        <v>550</v>
      </c>
      <c r="C430" s="39" t="s">
        <v>110</v>
      </c>
      <c r="D430" s="47" t="s">
        <v>547</v>
      </c>
      <c r="E430" s="92">
        <v>853611</v>
      </c>
      <c r="F430" s="96">
        <v>24</v>
      </c>
      <c r="G430" s="96">
        <v>1</v>
      </c>
      <c r="J430" s="42"/>
      <c r="K430" s="37"/>
      <c r="L430" s="37"/>
      <c r="M430" s="44"/>
      <c r="N430" s="44"/>
      <c r="O430" s="44"/>
      <c r="P430" s="44"/>
      <c r="Q430" s="40"/>
    </row>
    <row r="431" spans="1:17">
      <c r="A431" s="39" t="s">
        <v>681</v>
      </c>
      <c r="B431" s="47" t="s">
        <v>548</v>
      </c>
      <c r="C431" s="39" t="s">
        <v>154</v>
      </c>
      <c r="D431" s="47" t="s">
        <v>549</v>
      </c>
      <c r="E431" s="92">
        <v>7931651</v>
      </c>
      <c r="F431" s="96">
        <v>50</v>
      </c>
      <c r="G431" s="96">
        <v>1</v>
      </c>
      <c r="J431" s="42"/>
      <c r="K431" s="37"/>
      <c r="L431" s="37"/>
      <c r="M431" s="44"/>
      <c r="N431" s="44"/>
      <c r="O431" s="44"/>
      <c r="P431" s="44"/>
      <c r="Q431" s="40"/>
    </row>
    <row r="432" spans="1:17">
      <c r="A432" s="39" t="s">
        <v>682</v>
      </c>
      <c r="B432" s="47" t="s">
        <v>548</v>
      </c>
      <c r="C432" s="39" t="s">
        <v>106</v>
      </c>
      <c r="D432" s="47" t="s">
        <v>549</v>
      </c>
      <c r="E432" s="92">
        <v>2169391</v>
      </c>
      <c r="F432" s="96">
        <v>60</v>
      </c>
      <c r="G432" s="96">
        <v>1</v>
      </c>
      <c r="J432" s="42"/>
      <c r="K432" s="37"/>
      <c r="L432" s="37"/>
      <c r="M432" s="44"/>
      <c r="N432" s="44"/>
      <c r="O432" s="44"/>
      <c r="P432" s="44"/>
      <c r="Q432" s="40"/>
    </row>
    <row r="433" spans="1:17">
      <c r="A433" s="39" t="s">
        <v>683</v>
      </c>
      <c r="B433" s="47" t="s">
        <v>548</v>
      </c>
      <c r="C433" s="39" t="s">
        <v>32</v>
      </c>
      <c r="D433" s="47" t="s">
        <v>549</v>
      </c>
      <c r="E433" s="92">
        <v>4822187</v>
      </c>
      <c r="F433" s="96">
        <v>40</v>
      </c>
      <c r="G433" s="96">
        <v>1</v>
      </c>
      <c r="J433" s="42"/>
      <c r="K433" s="37"/>
      <c r="L433" s="37"/>
      <c r="M433" s="44"/>
      <c r="N433" s="44"/>
      <c r="O433" s="44"/>
      <c r="P433" s="44"/>
      <c r="Q433" s="40"/>
    </row>
    <row r="434" spans="1:17">
      <c r="A434" s="39" t="s">
        <v>684</v>
      </c>
      <c r="B434" s="47" t="s">
        <v>548</v>
      </c>
      <c r="C434" s="39" t="s">
        <v>144</v>
      </c>
      <c r="D434" s="47" t="s">
        <v>547</v>
      </c>
      <c r="E434" s="92">
        <v>4641549</v>
      </c>
      <c r="F434" s="96">
        <v>57</v>
      </c>
      <c r="G434" s="96">
        <v>1</v>
      </c>
      <c r="J434" s="42"/>
      <c r="K434" s="37"/>
      <c r="L434" s="37"/>
      <c r="M434" s="44"/>
      <c r="N434" s="44"/>
      <c r="O434" s="44"/>
      <c r="P434" s="44"/>
      <c r="Q434" s="40"/>
    </row>
    <row r="435" spans="1:17">
      <c r="A435" s="39" t="s">
        <v>685</v>
      </c>
      <c r="B435" s="47" t="s">
        <v>550</v>
      </c>
      <c r="C435" s="39" t="s">
        <v>113</v>
      </c>
      <c r="D435" s="47" t="s">
        <v>549</v>
      </c>
      <c r="E435" s="92">
        <v>3181198</v>
      </c>
      <c r="F435" s="96">
        <v>32</v>
      </c>
      <c r="G435" s="96">
        <v>1</v>
      </c>
      <c r="J435" s="42"/>
      <c r="K435" s="37"/>
      <c r="L435" s="37"/>
      <c r="M435" s="44"/>
      <c r="N435" s="44"/>
      <c r="O435" s="44"/>
      <c r="P435" s="44"/>
      <c r="Q435" s="40"/>
    </row>
    <row r="436" spans="1:17">
      <c r="A436" s="39" t="s">
        <v>686</v>
      </c>
      <c r="B436" s="47" t="s">
        <v>548</v>
      </c>
      <c r="C436" s="39" t="s">
        <v>32</v>
      </c>
      <c r="D436" s="47" t="s">
        <v>549</v>
      </c>
      <c r="E436" s="92">
        <v>3495777</v>
      </c>
      <c r="F436" s="96">
        <v>31</v>
      </c>
      <c r="G436" s="96">
        <v>1</v>
      </c>
      <c r="J436" s="42"/>
      <c r="K436" s="37"/>
      <c r="L436" s="37"/>
      <c r="M436" s="44"/>
      <c r="N436" s="44"/>
      <c r="O436" s="44"/>
      <c r="P436" s="44"/>
      <c r="Q436" s="40"/>
    </row>
    <row r="437" spans="1:17">
      <c r="A437" s="39" t="s">
        <v>687</v>
      </c>
      <c r="B437" s="47" t="s">
        <v>548</v>
      </c>
      <c r="C437" s="39" t="s">
        <v>125</v>
      </c>
      <c r="D437" s="47" t="s">
        <v>549</v>
      </c>
      <c r="E437" s="92">
        <v>6610838</v>
      </c>
      <c r="F437" s="96">
        <v>69</v>
      </c>
      <c r="G437" s="96">
        <v>1</v>
      </c>
      <c r="J437" s="42"/>
      <c r="K437" s="37"/>
      <c r="L437" s="37"/>
      <c r="M437" s="44"/>
      <c r="N437" s="44"/>
      <c r="O437" s="44"/>
      <c r="P437" s="44"/>
      <c r="Q437" s="40"/>
    </row>
    <row r="438" spans="1:17">
      <c r="A438" s="39" t="s">
        <v>688</v>
      </c>
      <c r="B438" s="47" t="s">
        <v>550</v>
      </c>
      <c r="C438" s="39" t="s">
        <v>151</v>
      </c>
      <c r="D438" s="47" t="s">
        <v>547</v>
      </c>
      <c r="E438" s="92">
        <v>1620239</v>
      </c>
      <c r="F438" s="96">
        <v>36</v>
      </c>
      <c r="G438" s="96">
        <v>1</v>
      </c>
      <c r="J438" s="42"/>
      <c r="K438" s="37"/>
      <c r="L438" s="37"/>
      <c r="M438" s="44"/>
      <c r="N438" s="44"/>
      <c r="O438" s="44"/>
      <c r="P438" s="44"/>
      <c r="Q438" s="40"/>
    </row>
    <row r="439" spans="1:17">
      <c r="A439" s="39" t="s">
        <v>689</v>
      </c>
      <c r="B439" s="47" t="s">
        <v>548</v>
      </c>
      <c r="C439" s="39" t="s">
        <v>107</v>
      </c>
      <c r="D439" s="47" t="s">
        <v>549</v>
      </c>
      <c r="E439" s="92">
        <v>13257623</v>
      </c>
      <c r="F439" s="96">
        <v>52</v>
      </c>
      <c r="G439" s="96">
        <v>1</v>
      </c>
      <c r="J439" s="42"/>
      <c r="K439" s="37"/>
      <c r="L439" s="37"/>
      <c r="M439" s="44"/>
      <c r="N439" s="44"/>
      <c r="O439" s="44"/>
      <c r="P439" s="44"/>
      <c r="Q439" s="40"/>
    </row>
    <row r="440" spans="1:17">
      <c r="A440" s="39" t="s">
        <v>690</v>
      </c>
      <c r="B440" s="47" t="s">
        <v>548</v>
      </c>
      <c r="C440" s="39" t="s">
        <v>154</v>
      </c>
      <c r="D440" s="47" t="s">
        <v>547</v>
      </c>
      <c r="E440" s="92">
        <v>14765673</v>
      </c>
      <c r="F440" s="96">
        <v>85</v>
      </c>
      <c r="G440" s="96">
        <v>1</v>
      </c>
      <c r="J440" s="42"/>
      <c r="K440" s="37"/>
      <c r="L440" s="37"/>
      <c r="M440" s="44"/>
      <c r="N440" s="44"/>
      <c r="O440" s="44"/>
      <c r="P440" s="44"/>
      <c r="Q440" s="40"/>
    </row>
    <row r="441" spans="1:17">
      <c r="A441" s="39" t="s">
        <v>691</v>
      </c>
      <c r="B441" s="47" t="s">
        <v>548</v>
      </c>
      <c r="C441" s="39" t="s">
        <v>136</v>
      </c>
      <c r="D441" s="47" t="s">
        <v>549</v>
      </c>
      <c r="E441" s="92">
        <v>9670049</v>
      </c>
      <c r="F441" s="96">
        <v>55</v>
      </c>
      <c r="G441" s="96">
        <v>1</v>
      </c>
      <c r="J441" s="42"/>
      <c r="K441" s="37"/>
      <c r="L441" s="37"/>
      <c r="M441" s="44"/>
      <c r="N441" s="44"/>
      <c r="O441" s="44"/>
      <c r="P441" s="44"/>
      <c r="Q441" s="40"/>
    </row>
    <row r="442" spans="1:17">
      <c r="A442" s="39" t="s">
        <v>692</v>
      </c>
      <c r="B442" s="47" t="s">
        <v>548</v>
      </c>
      <c r="C442" s="39" t="s">
        <v>120</v>
      </c>
      <c r="D442" s="47" t="s">
        <v>547</v>
      </c>
      <c r="E442" s="92">
        <v>3204799</v>
      </c>
      <c r="F442" s="96">
        <v>60</v>
      </c>
      <c r="G442" s="96">
        <v>1</v>
      </c>
      <c r="J442" s="42"/>
      <c r="K442" s="37"/>
      <c r="L442" s="37"/>
      <c r="M442" s="44"/>
      <c r="N442" s="44"/>
      <c r="O442" s="44"/>
      <c r="P442" s="44"/>
      <c r="Q442" s="40"/>
    </row>
    <row r="443" spans="1:17">
      <c r="A443" s="39" t="s">
        <v>693</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650</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651</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652</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653</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654</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655</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656</v>
      </c>
      <c r="B477" s="47" t="s">
        <v>548</v>
      </c>
      <c r="C477" s="39" t="s">
        <v>154</v>
      </c>
      <c r="D477" s="47" t="s">
        <v>547</v>
      </c>
      <c r="E477" s="92">
        <v>2860782</v>
      </c>
      <c r="F477" s="96">
        <v>60</v>
      </c>
      <c r="G477" s="96">
        <v>1</v>
      </c>
      <c r="J477" s="42"/>
      <c r="K477" s="37"/>
      <c r="L477" s="37"/>
      <c r="M477" s="44"/>
      <c r="N477" s="44"/>
      <c r="O477" s="44"/>
      <c r="P477" s="44"/>
      <c r="Q477" s="40"/>
    </row>
    <row r="478" spans="1:17">
      <c r="A478" s="39" t="s">
        <v>657</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660</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A11192799</value>
    </field>
    <field name="Objective-Title">
      <value order="0">2024 Gambling losses egms venues 2023_24</value>
    </field>
    <field name="Objective-Description">
      <value order="0"/>
    </field>
    <field name="Objective-CreationStamp">
      <value order="0">2024-07-29T23:48:45Z</value>
    </field>
    <field name="Objective-IsApproved">
      <value order="0">false</value>
    </field>
    <field name="Objective-IsPublished">
      <value order="0">true</value>
    </field>
    <field name="Objective-DatePublished">
      <value order="0">2024-07-29T23:49:27Z</value>
    </field>
    <field name="Objective-ModificationStamp">
      <value order="0">2024-10-02T06:51:20Z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vA14154465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2024-07-27T08:45:34Z</cp:lastPrinted>
  <dcterms:created xsi:type="dcterms:W3CDTF">2008-07-29T05:19:45Z</dcterms:created>
  <dcterms:modified xsi:type="dcterms:W3CDTF">2024-07-29T23:47:31Z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A11192799</vt:lpwstr>
  </property>
  <property fmtid="{D5CDD505-2E9C-101B-9397-08002B2CF9AE}" pid="4" name="Objective-Title">
    <vt:lpwstr>2024 Gambling losses egms venues 2023_24</vt:lpwstr>
  </property>
  <property fmtid="{D5CDD505-2E9C-101B-9397-08002B2CF9AE}" pid="5" name="Objective-Description">
    <vt:lpwstr/>
  </property>
  <property fmtid="{D5CDD505-2E9C-101B-9397-08002B2CF9AE}" pid="6" name="Objective-CreationStamp">
    <vt:filetime>2024-07-29T23:48:45Z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2024-07-29T23:49:27Z</vt:filetime>
  </property>
  <property fmtid="{D5CDD505-2E9C-101B-9397-08002B2CF9AE}" pid="10" name="Objective-ModificationStamp">
    <vt:filetime>2024-10-02T06:51:20Z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vA14154465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