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3d057c009d8f47b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6F4EA6DB-8199-4A2C-A1F4-37CF32A2606F}" xr6:coauthVersionLast="47" xr6:coauthVersionMax="47" xr10:uidLastSave="{00000000-0000-0000-0000-000000000000}"/>
  <bookViews>
    <workbookView xWindow="-110" yWindow="-110" windowWidth="19420" windowHeight="11500" tabRatio="84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DS83" i="8"/>
  <c r="DI83" i="8"/>
  <c r="DC83" i="8"/>
  <c r="N22" i="59" l="1"/>
  <c r="FF8" i="8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M20" i="52" s="1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2" i="53" l="1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<sst xmlns="http://schemas.openxmlformats.org/spreadsheetml/2006/main" count="973" uniqueCount="348">
  <si>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</si>
  <si>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</si>
  <si>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</si>
  <si>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</si>
  <si>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</si>
  <si>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</si>
  <si>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</si>
  <si>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</si>
  <si>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</si>
  <si>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</si>
  <si>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</si>
  <si>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</si>
  <si>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</si>
  <si>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</si>
  <si>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</si>
  <si>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</si>
  <si>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</si>
  <si>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</si>
  <si>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</si>
  <si>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</si>
  <si>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</si>
  <si>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</si>
  <si>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</si>
  <si>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</si>
  <si>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</si>
  <si>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</si>
  <si>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</si>
  <si>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</si>
  <si>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</si>
  <si>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</si>
  <si>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</si>
  <si>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</si>
  <si>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</si>
  <si>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</si>
  <si>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</si>
  <si>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</si>
  <si>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</si>
  <si>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</si>
  <si>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</si>
  <si>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</si>
  <si>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</si>
  <si>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</si>
  <si>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</si>
  <si>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</si>
  <si>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</si>
  <si>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</si>
  <si>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</si>
  <si>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</si>
  <si>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</si>
  <si>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</si>
  <si>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</si>
  <si>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</si>
  <si>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</si>
  <si>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</si>
  <si>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</si>
  <si>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</si>
  <si>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</si>
  <si>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</si>
  <si>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</si>
  <si>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</si>
  <si>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</si>
  <si>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</si>
  <si>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</si>
  <si>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</si>
  <si>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</si>
  <si>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</si>
  <si>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</si>
  <si>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</si>
  <si>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</si>
  <si>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</si>
  <si>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</si>
  <si>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</si>
  <si>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</si>
  <si>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</si>
  <si>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</si>
  <si>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</si>
  <si>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</si>
  <si>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</si>
  <si>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</si>
  <si>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</si>
  <si>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</si>
  <si>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</si>
  <si>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</si>
  <si>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</si>
  <si>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</si>
  <si>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</si>
  <si>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</si>
  <si>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</si>
  <si>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</si>
  <si>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</si>
  <si>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</si>
  <si>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</si>
  <si>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</si>
  <si>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</si>
  <si>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</si>
  <si>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</si>
  <si>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</si>
  <si>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</si>
  <si>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</si>
  <si>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</si>
  <si>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</si>
  <si>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</si>
  <si>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</si>
  <si>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</si>
  <si>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</si>
  <si>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</si>
  <si>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</si>
  <si>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</si>
  <si>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</si>
  <si>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</si>
  <si>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</si>
  <si>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</si>
  <si>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</si>
  <si>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</si>
  <si>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</si>
  <si>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</si>
  <si>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</si>
  <si>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</si>
  <si>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</si>
  <si>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</si>
  <si>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</si>
  <si>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</si>
  <si>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</si>
  <si>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</si>
  <si>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</si>
  <si>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</si>
  <si>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</si>
  <si>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</si>
  <si>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</si>
  <si>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</si>
  <si>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</si>
  <si>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</si>
  <si>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</si>
  <si>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</si>
  <si>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</si>
  <si>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</si>
  <si>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</si>
  <si>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</si>
  <si>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</si>
  <si>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</si>
  <si>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</si>
  <si>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</si>
  <si>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</si>
  <si>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</si>
  <si>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</si>
  <si>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</si>
  <si>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</si>
  <si>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</si>
  <si>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</si>
  <si>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</si>
  <si>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</si>
  <si>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</si>
  <si>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</si>
  <si>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</si>
  <si>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</si>
  <si>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</si>
  <si>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</si>
  <si>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</si>
  <si>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</si>
  <si>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</si>
  <si>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</si>
  <si>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</si>
  <si>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</si>
  <si>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</si>
  <si>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</si>
  <si>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</si>
  <si>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</si>
  <si>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</si>
  <si>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</si>
  <si>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</si>
  <si>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</si>
  <si>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</si>
  <si>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</si>
  <si>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</si>
  <si>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</si>
  <si>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</si>
  <si>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</si>
  <si>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</si>
  <si>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</si>
  <si>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</si>
  <si>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</si>
  <si>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</si>
  <si>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</si>
  <si>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</si>
  <si>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</si>
  <si>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</si>
  <si>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</si>
  <si>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</si>
  <si>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</si>
  <si>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</si>
  <si>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</si>
  <si>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</si>
  <si>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</si>
  <si>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</si>
  <si>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</si>
  <si>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</si>
  <si>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</si>
  <si>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</si>
  <si>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</si>
  <si>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</si>
  <si>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</si>
  <si>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</si>
  <si>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</si>
  <si>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Human Services, 2024 (update 2025)</t>
  </si>
  <si>
    <t>Dept. Health and Human Services 2015 (update undetermined)</t>
  </si>
  <si>
    <t>Australian Bureau of Statistics, 2023 (update 2024)</t>
  </si>
  <si>
    <t>Crime Statistics Agency, 2024 (update 2025)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</si>
  <si>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</si>
  <si>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</si>
  <si>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</si>
  <si>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</si>
  <si>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</si>
  <si>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</si>
  <si>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</si>
  <si>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</si>
  <si>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</si>
  <si>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</si>
  <si>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</si>
  <si>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</si>
  <si>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</si>
  <si>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</si>
  <si>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</si>
  <si>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</si>
  <si>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</si>
  <si>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</si>
  <si>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</si>
  <si>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</si>
  <si>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</si>
  <si>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</si>
  <si>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</si>
  <si>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</si>
  <si>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</si>
  <si>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</si>
  <si>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</si>
  <si>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</si>
  <si>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</si>
  <si>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</si>
  <si>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</si>
  <si>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</si>
  <si>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</si>
  <si>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</si>
  <si>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</si>
  <si>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</si>
  <si>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</si>
  <si>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</si>
  <si>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</si>
  <si>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</si>
  <si>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</si>
  <si>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</si>
  <si>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</si>
  <si>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</si>
  <si>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</si>
  <si>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</si>
  <si>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</si>
  <si>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</si>
  <si>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</si>
  <si>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</si>
  <si>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</si>
  <si>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</si>
  <si>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</si>
  <si>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</si>
  <si>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</si>
  <si>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</si>
  <si>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</si>
  <si>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</si>
  <si>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</si>
  <si>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</si>
  <si>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</si>
  <si>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</si>
  <si>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</si>
  <si>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</si>
  <si>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</si>
  <si>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</si>
  <si>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</si>
  <si>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</si>
  <si>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</si>
  <si>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</si>
  <si>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</si>
  <si>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</si>
  <si>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</si>
  <si>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</si>
  <si>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</si>
  <si>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</si>
  <si>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</si>
  <si>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</si>
  <si>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</si>
  <si>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</si>
  <si>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</si>
  <si>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</si>
  <si>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</si>
  <si>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</si>
  <si>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</si>
  <si>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</si>
  <si>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</si>
  <si>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</si>
  <si>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</si>
  <si>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</si>
  <si>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</si>
  <si>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</si>
  <si>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</si>
  <si>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</si>
  <si>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</si>
  <si>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</si>
  <si>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</si>
  <si>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</si>
  <si>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</si>
  <si>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</si>
  <si>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</si>
  <si>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</si>
  <si>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</si>
  <si>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</si>
  <si>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</si>
  <si>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</si>
  <si>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</si>
  <si>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</si>
  <si>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</si>
  <si>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</si>
  <si>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</si>
  <si>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</si>
  <si>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</si>
  <si>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</si>
  <si>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Australian Bureau of Statistics, 2025 (update 2025)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</si>
  <si>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</si>
  <si>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</si>
  <si>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</si>
  <si>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</si>
  <si>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</si>
  <si>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</si>
  <si>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</si>
  <si>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</si>
  <si>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</si>
  <si>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</si>
  <si>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</si>
  <si>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</si>
  <si>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</si>
  <si>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</si>
  <si>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</si>
  <si>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</si>
  <si>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</si>
  <si>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</si>
  <si>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</si>
  <si>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</si>
  <si>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ABS 'Regional Population Growth'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</si>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</sst>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7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3" fontId="2" fillId="16" borderId="0" xfId="0" applyNumberFormat="1" applyFont="1" applyFill="1" applyAlignment="1" applyProtection="1">
      <alignment horizontal="center" vertical="center" wrapText="1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164" fontId="2" fillId="16" borderId="0" xfId="0" applyNumberFormat="1" applyFont="1" applyFill="1" applyAlignment="1" applyProtection="1">
      <alignment horizontal="center" vertical="center" wrapText="1"/>
      <protection hidden="1"/>
    </xf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d27c19d295254435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2023/24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954.86959070040041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2023/24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568.09922429769085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2023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15.676160015984301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2023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167298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5256451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Mornington Peninsula </c:v>
                </c:pt>
                <c:pt idx="2">
                  <c:v>Casey </c:v>
                </c:pt>
                <c:pt idx="3">
                  <c:v>Monash </c:v>
                </c:pt>
                <c:pt idx="4">
                  <c:v>Brimbank </c:v>
                </c:pt>
                <c:pt idx="5">
                  <c:v>Whitehorse </c:v>
                </c:pt>
                <c:pt idx="6">
                  <c:v>Whittlesea </c:v>
                </c:pt>
                <c:pt idx="7">
                  <c:v>Boroondara </c:v>
                </c:pt>
                <c:pt idx="8">
                  <c:v>Kingston </c:v>
                </c:pt>
                <c:pt idx="9">
                  <c:v>Knox </c:v>
                </c:pt>
                <c:pt idx="10">
                  <c:v>Hume </c:v>
                </c:pt>
                <c:pt idx="11">
                  <c:v>Yarra Ranges </c:v>
                </c:pt>
                <c:pt idx="12">
                  <c:v>Manningham </c:v>
                </c:pt>
                <c:pt idx="13">
                  <c:v>Greater Dandenong </c:v>
                </c:pt>
                <c:pt idx="14">
                  <c:v>Glen Eira </c:v>
                </c:pt>
                <c:pt idx="15">
                  <c:v>Wyndham </c:v>
                </c:pt>
                <c:pt idx="16">
                  <c:v>Greater Bendigo </c:v>
                </c:pt>
                <c:pt idx="17">
                  <c:v>Banyule </c:v>
                </c:pt>
                <c:pt idx="18">
                  <c:v>Frankston </c:v>
                </c:pt>
                <c:pt idx="19">
                  <c:v>Moreland </c:v>
                </c:pt>
                <c:pt idx="20">
                  <c:v>Ballarat </c:v>
                </c:pt>
                <c:pt idx="21">
                  <c:v>Darebin </c:v>
                </c:pt>
                <c:pt idx="22">
                  <c:v>Bayside </c:v>
                </c:pt>
                <c:pt idx="23">
                  <c:v>Moonee Valley </c:v>
                </c:pt>
                <c:pt idx="24">
                  <c:v>Maroondah </c:v>
                </c:pt>
                <c:pt idx="25">
                  <c:v>Melton </c:v>
                </c:pt>
                <c:pt idx="26">
                  <c:v>Stonnington </c:v>
                </c:pt>
                <c:pt idx="27">
                  <c:v>Latrobe </c:v>
                </c:pt>
                <c:pt idx="28">
                  <c:v>Cardinia </c:v>
                </c:pt>
                <c:pt idx="29">
                  <c:v>East Gippsland </c:v>
                </c:pt>
                <c:pt idx="30">
                  <c:v>Hobsons Bay </c:v>
                </c:pt>
                <c:pt idx="31">
                  <c:v>Port Phillip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Mildura </c:v>
                </c:pt>
                <c:pt idx="37">
                  <c:v>Yarra </c:v>
                </c:pt>
                <c:pt idx="38">
                  <c:v>Nillumbik </c:v>
                </c:pt>
                <c:pt idx="39">
                  <c:v>Wellington </c:v>
                </c:pt>
                <c:pt idx="40">
                  <c:v>Macedon Ranges </c:v>
                </c:pt>
                <c:pt idx="41">
                  <c:v>Maribyrnong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Mitchell </c:v>
                </c:pt>
                <c:pt idx="46">
                  <c:v>Surf Coast </c:v>
                </c:pt>
                <c:pt idx="47">
                  <c:v>Wodonga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Colac-Otway </c:v>
                </c:pt>
                <c:pt idx="53">
                  <c:v>Glenelg </c:v>
                </c:pt>
                <c:pt idx="54">
                  <c:v>Hepburn </c:v>
                </c:pt>
                <c:pt idx="55">
                  <c:v>Horsham </c:v>
                </c:pt>
                <c:pt idx="56">
                  <c:v>Benalla </c:v>
                </c:pt>
                <c:pt idx="57">
                  <c:v>Southern Grampians </c:v>
                </c:pt>
                <c:pt idx="58">
                  <c:v>Indigo </c:v>
                </c:pt>
                <c:pt idx="59">
                  <c:v>Central Goldfields </c:v>
                </c:pt>
                <c:pt idx="60">
                  <c:v>Murrindindi </c:v>
                </c:pt>
                <c:pt idx="61">
                  <c:v>Golden Plains </c:v>
                </c:pt>
                <c:pt idx="62">
                  <c:v>Swan Hill </c:v>
                </c:pt>
                <c:pt idx="63">
                  <c:v>Corangamite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Gannawarra </c:v>
                </c:pt>
                <c:pt idx="68">
                  <c:v>Northern Grampians </c:v>
                </c:pt>
                <c:pt idx="69">
                  <c:v>Ararat </c:v>
                </c:pt>
                <c:pt idx="70">
                  <c:v>Mansfield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Queenscliffe </c:v>
                </c:pt>
                <c:pt idx="77">
                  <c:v>Hindmarsh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56688.63363612898</c:v>
                </c:pt>
                <c:pt idx="1">
                  <c:v>47673.620060736714</c:v>
                </c:pt>
                <c:pt idx="2">
                  <c:v>43897.642638545309</c:v>
                </c:pt>
                <c:pt idx="3">
                  <c:v>35536.288838671644</c:v>
                </c:pt>
                <c:pt idx="4">
                  <c:v>33183.682972363626</c:v>
                </c:pt>
                <c:pt idx="5">
                  <c:v>32553.801107261013</c:v>
                </c:pt>
                <c:pt idx="6">
                  <c:v>32109.700859898217</c:v>
                </c:pt>
                <c:pt idx="7">
                  <c:v>31998.951511713847</c:v>
                </c:pt>
                <c:pt idx="8">
                  <c:v>30631.507640907868</c:v>
                </c:pt>
                <c:pt idx="9">
                  <c:v>29671.082823337412</c:v>
                </c:pt>
                <c:pt idx="10">
                  <c:v>29313.021311899651</c:v>
                </c:pt>
                <c:pt idx="11">
                  <c:v>28913.540908919051</c:v>
                </c:pt>
                <c:pt idx="12">
                  <c:v>28683.151118797967</c:v>
                </c:pt>
                <c:pt idx="13">
                  <c:v>26049.918140080103</c:v>
                </c:pt>
                <c:pt idx="14">
                  <c:v>25412.865452667418</c:v>
                </c:pt>
                <c:pt idx="15">
                  <c:v>25357.278955959355</c:v>
                </c:pt>
                <c:pt idx="16">
                  <c:v>25113.585291606938</c:v>
                </c:pt>
                <c:pt idx="17">
                  <c:v>24536.140591966174</c:v>
                </c:pt>
                <c:pt idx="18">
                  <c:v>24049.511153431449</c:v>
                </c:pt>
                <c:pt idx="19">
                  <c:v>23245.856519315981</c:v>
                </c:pt>
                <c:pt idx="20">
                  <c:v>22660.307524314991</c:v>
                </c:pt>
                <c:pt idx="21">
                  <c:v>22607.901241625612</c:v>
                </c:pt>
                <c:pt idx="22">
                  <c:v>22553.331651833665</c:v>
                </c:pt>
                <c:pt idx="23">
                  <c:v>22106.11289787012</c:v>
                </c:pt>
                <c:pt idx="24">
                  <c:v>21022.175315496363</c:v>
                </c:pt>
                <c:pt idx="25">
                  <c:v>19239.346154219442</c:v>
                </c:pt>
                <c:pt idx="26">
                  <c:v>18560.943081690395</c:v>
                </c:pt>
                <c:pt idx="27">
                  <c:v>16794.18475062057</c:v>
                </c:pt>
                <c:pt idx="28">
                  <c:v>16432.406923440452</c:v>
                </c:pt>
                <c:pt idx="29">
                  <c:v>15561.513450863173</c:v>
                </c:pt>
                <c:pt idx="30">
                  <c:v>15518.504373893191</c:v>
                </c:pt>
                <c:pt idx="31">
                  <c:v>15070.886919600054</c:v>
                </c:pt>
                <c:pt idx="32">
                  <c:v>13567.49223982064</c:v>
                </c:pt>
                <c:pt idx="33">
                  <c:v>13387.70653321021</c:v>
                </c:pt>
                <c:pt idx="34">
                  <c:v>13158.130450045637</c:v>
                </c:pt>
                <c:pt idx="35">
                  <c:v>12030.34165933843</c:v>
                </c:pt>
                <c:pt idx="36">
                  <c:v>11383.222608333044</c:v>
                </c:pt>
                <c:pt idx="37">
                  <c:v>11372.932538379444</c:v>
                </c:pt>
                <c:pt idx="38">
                  <c:v>11236.683943474962</c:v>
                </c:pt>
                <c:pt idx="39">
                  <c:v>11062.231051079698</c:v>
                </c:pt>
                <c:pt idx="40">
                  <c:v>10630.822411186697</c:v>
                </c:pt>
                <c:pt idx="41">
                  <c:v>9875.8022383993375</c:v>
                </c:pt>
                <c:pt idx="42">
                  <c:v>9648.0797148750626</c:v>
                </c:pt>
                <c:pt idx="43">
                  <c:v>8625.0621608448419</c:v>
                </c:pt>
                <c:pt idx="44">
                  <c:v>8442.1547545663943</c:v>
                </c:pt>
                <c:pt idx="45">
                  <c:v>8368.9670346034291</c:v>
                </c:pt>
                <c:pt idx="46">
                  <c:v>8103.0711595235671</c:v>
                </c:pt>
                <c:pt idx="47">
                  <c:v>8073.7058451531302</c:v>
                </c:pt>
                <c:pt idx="48">
                  <c:v>7713.8524521681011</c:v>
                </c:pt>
                <c:pt idx="49">
                  <c:v>7394.934537697487</c:v>
                </c:pt>
                <c:pt idx="50">
                  <c:v>6840.0394965721889</c:v>
                </c:pt>
                <c:pt idx="51">
                  <c:v>6103.439055209953</c:v>
                </c:pt>
                <c:pt idx="52">
                  <c:v>5476.6308983971621</c:v>
                </c:pt>
                <c:pt idx="53">
                  <c:v>5360.9806712616119</c:v>
                </c:pt>
                <c:pt idx="54">
                  <c:v>4844.3431313737256</c:v>
                </c:pt>
                <c:pt idx="55">
                  <c:v>4414.2149150873738</c:v>
                </c:pt>
                <c:pt idx="56">
                  <c:v>4354.5395416064421</c:v>
                </c:pt>
                <c:pt idx="57">
                  <c:v>4334.4262295081971</c:v>
                </c:pt>
                <c:pt idx="58">
                  <c:v>4277.297927754501</c:v>
                </c:pt>
                <c:pt idx="59">
                  <c:v>4261.4250773537642</c:v>
                </c:pt>
                <c:pt idx="60">
                  <c:v>4185.4578865779613</c:v>
                </c:pt>
                <c:pt idx="61">
                  <c:v>4160.9970950499655</c:v>
                </c:pt>
                <c:pt idx="62">
                  <c:v>4138.8472562700363</c:v>
                </c:pt>
                <c:pt idx="63">
                  <c:v>4038.0075244544769</c:v>
                </c:pt>
                <c:pt idx="64">
                  <c:v>3962.9337308347531</c:v>
                </c:pt>
                <c:pt idx="65">
                  <c:v>3779.8403869407498</c:v>
                </c:pt>
                <c:pt idx="66">
                  <c:v>3507.5175997572446</c:v>
                </c:pt>
                <c:pt idx="67">
                  <c:v>3230.0326295585414</c:v>
                </c:pt>
                <c:pt idx="68">
                  <c:v>3186.8379493223333</c:v>
                </c:pt>
                <c:pt idx="69">
                  <c:v>2905.7459556620729</c:v>
                </c:pt>
                <c:pt idx="70">
                  <c:v>2870.8378532144889</c:v>
                </c:pt>
                <c:pt idx="71">
                  <c:v>2328.4019620498257</c:v>
                </c:pt>
                <c:pt idx="72">
                  <c:v>2196.4734138196764</c:v>
                </c:pt>
                <c:pt idx="73">
                  <c:v>1891.1854750352168</c:v>
                </c:pt>
                <c:pt idx="74">
                  <c:v>1845.2248918789044</c:v>
                </c:pt>
                <c:pt idx="75">
                  <c:v>1774.9668874172185</c:v>
                </c:pt>
                <c:pt idx="76">
                  <c:v>1591.8536133415689</c:v>
                </c:pt>
                <c:pt idx="77">
                  <c:v>1552.015830185285</c:v>
                </c:pt>
                <c:pt idx="78">
                  <c:v>1098.3859649122808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{231533BD-EF27-4BAF-B53E-91FD036B7EF8}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{3DDB7222-FF1C-4A9F-A11A-32B756B82AE6}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{1AB2494C-3D81-468E-8125-0BF45686C321}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{39C6F1C7-7F35-4599-9574-5D25A88BE365}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{414CDBD4-76FC-449E-ACF2-53FFE8ADC1F4}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{9A5E99A6-261E-4B04-83DD-B23DBDC1FFA0}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{8D5FCA98-DB66-423D-9C5F-BD26CF18E215}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{BFA84428-B7FB-475E-B751-781C25470A5B}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{A7387AAB-F072-409F-B270-2000166311AE}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{0F923BDE-D5CC-40A1-B298-89C0FBEAC676}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{EB1EAE5F-CEE6-4841-B646-53986C3FEDA5}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{A7FD8593-7637-4CB8-B4C0-2631E6650E5D}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{16E7E388-8C3C-42CA-8193-FE67C6A08E59}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{43714706-7878-4B19-B357-B3DDA3824D0C}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{82C195AB-ED3B-4964-98F7-D3CAF347E72D}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{26102402-31A5-4AAE-A060-4E58A51040C7}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{4735D650-90C2-49F9-8BCE-825C8A605202}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{8C75B70A-EDB2-42C5-AFEE-F8C993B3DCE2}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{D97DC63C-951F-4470-AFF9-431876B752D4}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{BCBEE7AC-7A6C-447B-9932-566309F2147F}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{3F850AD0-10FE-4102-A8F7-3CE9A1F28D8E}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{C2DA100C-3538-466E-A55A-6A24E3292411}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{2A5E8856-20AC-439B-A794-A5394698FA1F}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{4F330C2E-1CEB-4773-ADC6-7ED42CAA0427}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{76965A85-A6F1-43B3-99EC-4D02B99D454C}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{E19ECB81-3D45-4C35-B6F0-AD3F164E8E11}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{9C391C79-EFA7-42FC-BA8D-3511788510E1}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{E3E7E014-E57C-46CD-8CAF-1DB6C1008DD5}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2024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4.1000000000000005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2024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6.3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0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BU4" activePane="bottomRight" state="frozen"/>
      <selection pane="topRight" activeCell="C1" sqref="C1"/>
      <selection pane="bottomLeft" activeCell="A4" sqref="A4"/>
      <selection pane="bottomRight" activeCell="CD88" sqref="CD88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322</v>
      </c>
      <c r="D3" s="48" t="s">
        <v>305</v>
      </c>
      <c r="E3" s="48" t="s">
        <v>180</v>
      </c>
      <c r="F3" s="48" t="s">
        <v>181</v>
      </c>
      <c r="G3" s="48" t="s">
        <v>182</v>
      </c>
      <c r="H3" s="48" t="s">
        <v>317</v>
      </c>
      <c r="I3" s="48" t="s">
        <v>303</v>
      </c>
      <c r="J3" s="48" t="s">
        <v>183</v>
      </c>
      <c r="K3" s="48" t="s">
        <v>304</v>
      </c>
      <c r="L3" s="48"/>
      <c r="M3" s="48" t="s">
        <v>199</v>
      </c>
      <c r="N3" s="48" t="s">
        <v>200</v>
      </c>
      <c r="O3" s="48" t="s">
        <v>245</v>
      </c>
      <c r="P3" s="48" t="s">
        <v>246</v>
      </c>
      <c r="Q3" s="48" t="s">
        <v>248</v>
      </c>
      <c r="R3" s="48" t="s">
        <v>249</v>
      </c>
      <c r="S3" s="48" t="s">
        <v>250</v>
      </c>
      <c r="T3" s="66" t="s">
        <v>247</v>
      </c>
      <c r="U3" s="48"/>
      <c r="V3" s="48"/>
      <c r="W3" s="48" t="s">
        <v>266</v>
      </c>
      <c r="X3" s="48" t="s">
        <v>240</v>
      </c>
      <c r="Y3" s="48" t="s">
        <v>262</v>
      </c>
      <c r="Z3" s="48" t="s">
        <v>179</v>
      </c>
      <c r="AA3" s="48" t="s">
        <v>343</v>
      </c>
      <c r="AB3" s="48" t="s">
        <v>344</v>
      </c>
      <c r="AC3" s="48" t="s">
        <v>345</v>
      </c>
      <c r="AD3" s="48" t="s">
        <v>346</v>
      </c>
      <c r="AE3" s="66" t="s">
        <v>323</v>
      </c>
      <c r="AF3" s="48"/>
      <c r="AG3" s="48" t="s">
        <v>138</v>
      </c>
      <c r="AH3" s="48" t="s">
        <v>339</v>
      </c>
      <c r="AI3" s="48" t="s">
        <v>324</v>
      </c>
      <c r="AJ3" s="48" t="s">
        <v>325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328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330</v>
      </c>
      <c r="BE3" s="48" t="s">
        <v>148</v>
      </c>
      <c r="BF3" s="48" t="s">
        <v>173</v>
      </c>
      <c r="BG3" s="48" t="s">
        <v>333</v>
      </c>
      <c r="BH3" s="48"/>
      <c r="BI3" s="48"/>
      <c r="BJ3" s="48"/>
      <c r="BK3" s="48" t="s">
        <v>207</v>
      </c>
      <c r="BL3" s="48" t="s">
        <v>174</v>
      </c>
      <c r="BM3" s="106" t="s">
        <v>153</v>
      </c>
      <c r="BN3" s="48" t="s">
        <v>175</v>
      </c>
      <c r="BO3" s="48" t="s">
        <v>150</v>
      </c>
      <c r="BP3" s="48" t="s">
        <v>260</v>
      </c>
      <c r="BQ3" s="48" t="s">
        <v>259</v>
      </c>
      <c r="BR3" s="48" t="s">
        <v>320</v>
      </c>
      <c r="BS3" s="48"/>
      <c r="BT3" s="48"/>
      <c r="BU3" s="48" t="s">
        <v>309</v>
      </c>
      <c r="BV3" s="48" t="s">
        <v>165</v>
      </c>
      <c r="BW3" s="48" t="s">
        <v>166</v>
      </c>
      <c r="BX3" s="48" t="s">
        <v>208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310</v>
      </c>
      <c r="CF3" s="48" t="s">
        <v>302</v>
      </c>
      <c r="CG3" s="48" t="s">
        <v>301</v>
      </c>
      <c r="CH3" s="48" t="s">
        <v>306</v>
      </c>
      <c r="CI3" s="48" t="s">
        <v>307</v>
      </c>
      <c r="CJ3" s="48" t="s">
        <v>287</v>
      </c>
      <c r="CK3" s="48" t="s">
        <v>311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315</v>
      </c>
      <c r="CS3" s="48" t="s">
        <v>312</v>
      </c>
      <c r="CT3" s="48" t="s">
        <v>313</v>
      </c>
      <c r="CU3" s="48" t="s">
        <v>316</v>
      </c>
      <c r="CV3" s="48"/>
      <c r="CW3" s="48"/>
      <c r="CX3" s="48"/>
      <c r="CY3" s="48" t="s">
        <v>337</v>
      </c>
      <c r="CZ3" s="48" t="s">
        <v>334</v>
      </c>
      <c r="DA3" s="48" t="s">
        <v>335</v>
      </c>
      <c r="DB3" s="48" t="s">
        <v>336</v>
      </c>
      <c r="DC3" s="106" t="s">
        <v>274</v>
      </c>
      <c r="DD3" s="48" t="s">
        <v>261</v>
      </c>
      <c r="DE3" s="48"/>
      <c r="DF3" s="48"/>
      <c r="DG3" s="48"/>
      <c r="DH3" s="48"/>
      <c r="DI3" s="48" t="s">
        <v>275</v>
      </c>
      <c r="DJ3" s="48" t="s">
        <v>296</v>
      </c>
      <c r="DK3" s="48" t="s">
        <v>297</v>
      </c>
      <c r="DL3" s="48" t="s">
        <v>339</v>
      </c>
      <c r="DM3" s="48" t="s">
        <v>136</v>
      </c>
      <c r="DN3" s="48"/>
      <c r="DO3" s="48"/>
      <c r="DP3" s="48"/>
      <c r="DQ3" s="48"/>
      <c r="DR3" s="48"/>
      <c r="DS3" s="48" t="s">
        <v>264</v>
      </c>
      <c r="DT3" s="48" t="s">
        <v>137</v>
      </c>
      <c r="DU3" s="48" t="s">
        <v>276</v>
      </c>
      <c r="DV3" s="48" t="s">
        <v>190</v>
      </c>
      <c r="DW3" s="48" t="s">
        <v>267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319</v>
      </c>
      <c r="EF3" s="48" t="s">
        <v>155</v>
      </c>
      <c r="EG3" s="48" t="s">
        <v>141</v>
      </c>
      <c r="EH3" s="48" t="s">
        <v>142</v>
      </c>
      <c r="EI3" s="48" t="s">
        <v>277</v>
      </c>
      <c r="EJ3" s="48"/>
      <c r="EK3" s="48"/>
      <c r="EL3" s="48"/>
      <c r="EM3" s="48" t="s">
        <v>265</v>
      </c>
      <c r="EN3" s="48" t="s">
        <v>147</v>
      </c>
      <c r="EO3" s="48" t="s">
        <v>256</v>
      </c>
      <c r="EP3" s="48" t="s">
        <v>278</v>
      </c>
      <c r="EQ3" s="48" t="s">
        <v>258</v>
      </c>
      <c r="ER3" s="48" t="s">
        <v>257</v>
      </c>
      <c r="ES3" s="48" t="s">
        <v>279</v>
      </c>
      <c r="ET3" s="48" t="s">
        <v>143</v>
      </c>
      <c r="EU3" s="48"/>
      <c r="EV3" s="48"/>
      <c r="EW3" s="48" t="s">
        <v>286</v>
      </c>
      <c r="EX3" s="48" t="s">
        <v>157</v>
      </c>
      <c r="EY3" s="48" t="s">
        <v>193</v>
      </c>
      <c r="EZ3" s="48" t="s">
        <v>280</v>
      </c>
      <c r="FA3" s="48" t="s">
        <v>281</v>
      </c>
      <c r="FB3" s="48" t="s">
        <v>282</v>
      </c>
      <c r="FC3" s="48" t="s">
        <v>161</v>
      </c>
      <c r="FD3" s="48" t="s">
        <v>283</v>
      </c>
      <c r="FE3" s="48" t="s">
        <v>284</v>
      </c>
      <c r="FF3" s="113" t="str">
        <f>DC3</f>
        <v>Rate of Family related violent offences, per 100,000 women, female victims, 2023/24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>
        <v>13199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20.8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470.3383401608254</v>
      </c>
      <c r="DD4" s="53">
        <v>21.299999999999997</v>
      </c>
      <c r="DE4" s="58"/>
      <c r="DF4" s="58"/>
      <c r="DG4" s="58"/>
      <c r="DH4" s="58"/>
      <c r="DI4" s="88">
        <v>1957.5212410863298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1553.6010013654984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3.7890042963539887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3507.5175997572446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470.3383401608254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>
        <v>11686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57.499999999999993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1420.8679277582812</v>
      </c>
      <c r="DD5" s="53">
        <v>43.2</v>
      </c>
      <c r="DE5" s="58"/>
      <c r="DF5" s="58"/>
      <c r="DG5" s="58"/>
      <c r="DH5" s="58"/>
      <c r="DI5" s="88">
        <v>1792.4601557819053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1325.5402893092528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54.83018919975752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2905.7459556620729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1420.8679277582812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>
        <v>121050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69.099999999999994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926.04349187807372</v>
      </c>
      <c r="DD6" s="53">
        <v>58.1</v>
      </c>
      <c r="DE6" s="58"/>
      <c r="DF6" s="58"/>
      <c r="DG6" s="58"/>
      <c r="DH6" s="58"/>
      <c r="DI6" s="88">
        <v>22507.633510246578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18696.521242286497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29.502968530203287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22660.307524314991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926.04349187807372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>
        <v>131931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2.6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408.94430641502447</v>
      </c>
      <c r="DD7" s="53">
        <v>38.5</v>
      </c>
      <c r="DE7" s="58"/>
      <c r="DF7" s="58"/>
      <c r="DG7" s="58"/>
      <c r="DH7" s="58"/>
      <c r="DI7" s="88">
        <v>23189.365750528541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18395.946723044399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5.7627550046645242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24536.140591966174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408.94430641502447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>
        <v>43557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20.8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1179.5267850874113</v>
      </c>
      <c r="DD8" s="53">
        <v>36.299999999999997</v>
      </c>
      <c r="DE8" s="58"/>
      <c r="DF8" s="58"/>
      <c r="DG8" s="58"/>
      <c r="DH8" s="58"/>
      <c r="DI8" s="88">
        <v>6491.3987221793159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4667.9354630344733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30.289214046368741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13158.130450045637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1179.5267850874113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>
        <v>61905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21.3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1101.5104544555109</v>
      </c>
      <c r="DD9" s="53">
        <v>45.1</v>
      </c>
      <c r="DE9" s="58"/>
      <c r="DF9" s="58"/>
      <c r="DG9" s="58"/>
      <c r="DH9" s="58"/>
      <c r="DI9" s="88">
        <v>11718.709188048282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8385.4101477475106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39.894078358681405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13387.70653321021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1101.5104544555109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>
        <v>106118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0.89999999999999991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335.66058002148225</v>
      </c>
      <c r="DD10" s="53">
        <v>31.599999999999994</v>
      </c>
      <c r="DE10" s="58"/>
      <c r="DF10" s="58"/>
      <c r="DG10" s="58"/>
      <c r="DH10" s="58"/>
      <c r="DI10" s="88">
        <v>17701.938123369648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17092.130067515725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1.0506146999740498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22553.331651833665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335.66058002148225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>
        <v>14635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29.7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1115.0113565971506</v>
      </c>
      <c r="DD11" s="53">
        <v>42.3</v>
      </c>
      <c r="DE11" s="58"/>
      <c r="DF11" s="58"/>
      <c r="DG11" s="58"/>
      <c r="DH11" s="58"/>
      <c r="DI11" s="88">
        <v>2092.1532796476013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1700.1137724550899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39.298501914734103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4354.5395416064421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1115.0113565971506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>
        <v>178008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0.70000000000000007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250.94965537393216</v>
      </c>
      <c r="DD12" s="53">
        <v>30.799999999999997</v>
      </c>
      <c r="DE12" s="58"/>
      <c r="DF12" s="58"/>
      <c r="DG12" s="58"/>
      <c r="DH12" s="58"/>
      <c r="DI12" s="88">
        <v>26925.014180374361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32883.397432063117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1.0167090663846676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31998.951511713847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250.94965537393216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>
        <v>198152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17.2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776.34840802668759</v>
      </c>
      <c r="DD13" s="53">
        <v>61.2</v>
      </c>
      <c r="DE13" s="58"/>
      <c r="DF13" s="58"/>
      <c r="DG13" s="58"/>
      <c r="DH13" s="58"/>
      <c r="DI13" s="88">
        <v>33138.199565408118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29912.112047172606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13.566185385123244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33183.682972363626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776.34840802668759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>
        <v>5956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93.300000000000011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397.35099337748346</v>
      </c>
      <c r="DD14" s="53">
        <v>13.099999999999994</v>
      </c>
      <c r="DE14" s="58"/>
      <c r="DF14" s="58"/>
      <c r="DG14" s="58"/>
      <c r="DH14" s="58"/>
      <c r="DI14" s="88">
        <v>850.01192052980127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702.6896688741723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55.277757685524371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1774.9668874172185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397.35099337748346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>
        <v>38153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38.200000000000003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840.75302227212194</v>
      </c>
      <c r="DD15" s="53">
        <v>45.3</v>
      </c>
      <c r="DE15" s="58"/>
      <c r="DF15" s="58"/>
      <c r="DG15" s="58"/>
      <c r="DH15" s="58"/>
      <c r="DI15" s="88">
        <v>6444.339460560328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5151.4868168881694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35.269014476888728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9648.0797148750626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840.75302227212194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>
        <v>130383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792.37555135475736</v>
      </c>
      <c r="DD16" s="53">
        <v>41</v>
      </c>
      <c r="DE16" s="58"/>
      <c r="DF16" s="58"/>
      <c r="DG16" s="58"/>
      <c r="DH16" s="58"/>
      <c r="DI16" s="88">
        <v>29336.174999999999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19753.599598298675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27.9749421528143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16432.406923440452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792.37555135475736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>
        <v>405415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3.2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832.92953507944196</v>
      </c>
      <c r="DD17" s="53">
        <v>51.9</v>
      </c>
      <c r="DE17" s="58"/>
      <c r="DF17" s="58"/>
      <c r="DG17" s="58"/>
      <c r="DH17" s="58"/>
      <c r="DI17" s="88">
        <v>90980.82916783556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65401.76988855168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24.130492276123526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43897.642638545309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832.92953507944196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>
        <v>13704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85.5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942.97922498894934</v>
      </c>
      <c r="DD18" s="53">
        <v>38.4</v>
      </c>
      <c r="DE18" s="58"/>
      <c r="DF18" s="58"/>
      <c r="DG18" s="58"/>
      <c r="DH18" s="58"/>
      <c r="DI18" s="88">
        <v>1951.5125976130839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1664.1869456313541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89.657961229708704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4261.4250773537642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942.97922498894934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>
        <v>22300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37.799999999999997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1095.4967898352265</v>
      </c>
      <c r="DD19" s="53">
        <v>34.5</v>
      </c>
      <c r="DE19" s="58"/>
      <c r="DF19" s="58"/>
      <c r="DG19" s="58"/>
      <c r="DH19" s="58"/>
      <c r="DI19" s="88">
        <v>3780.5773806851344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2775.7607866026128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34.38584401103261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5476.6308983971621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1095.4967898352265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>
        <v>15846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47.3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840.23074993729631</v>
      </c>
      <c r="DD20" s="53">
        <v>30.900000000000006</v>
      </c>
      <c r="DE20" s="58"/>
      <c r="DF20" s="58"/>
      <c r="DG20" s="58"/>
      <c r="DH20" s="58"/>
      <c r="DI20" s="88">
        <v>2562.5052671181338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2138.8324303987961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65.440835019930375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4038.0075244544769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840.23074993729631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>
        <v>159963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3.1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512.58005048720793</v>
      </c>
      <c r="DD21" s="53">
        <v>48.2</v>
      </c>
      <c r="DE21" s="58"/>
      <c r="DF21" s="58"/>
      <c r="DG21" s="58"/>
      <c r="DH21" s="58"/>
      <c r="DI21" s="88">
        <v>22942.863556072276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21593.150377369398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7.8315371668361262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22607.901241625612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512.58005048720793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>
        <v>49422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37.799999999999997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1695.8457878362715</v>
      </c>
      <c r="DD22" s="53">
        <v>40</v>
      </c>
      <c r="DE22" s="58"/>
      <c r="DF22" s="58"/>
      <c r="DG22" s="58"/>
      <c r="DH22" s="58"/>
      <c r="DI22" s="88">
        <v>7400.3865064356742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5568.1778320014646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41.633965059836868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15561.513450863173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1695.8457878362715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>
        <v>144615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3.5000000000000004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992.81643398260815</v>
      </c>
      <c r="DD23" s="53">
        <v>53.9</v>
      </c>
      <c r="DE23" s="58"/>
      <c r="DF23" s="58"/>
      <c r="DG23" s="58"/>
      <c r="DH23" s="58"/>
      <c r="DI23" s="88">
        <v>26716.503927856273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20132.251606850292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17.289209586312548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24049.511153431449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992.81643398260815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>
        <v>10404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76.7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1055.662188099808</v>
      </c>
      <c r="DD24" s="53">
        <v>31.200000000000003</v>
      </c>
      <c r="DE24" s="58"/>
      <c r="DF24" s="58"/>
      <c r="DG24" s="58"/>
      <c r="DH24" s="58"/>
      <c r="DI24" s="88">
        <v>1615.515547024952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1175.5920921305183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41.295430569973782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3230.0326295585414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1055.662188099808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>
        <v>161057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0.89999999999999991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325.17836989995988</v>
      </c>
      <c r="DD25" s="53">
        <v>37.9</v>
      </c>
      <c r="DE25" s="58"/>
      <c r="DF25" s="58"/>
      <c r="DG25" s="58"/>
      <c r="DH25" s="58"/>
      <c r="DI25" s="88">
        <v>27069.266308332855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25205.635636998923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3.6443071946705912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25412.865452667418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325.17836989995988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>
        <v>20007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55.000000000000007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1028.8682449305763</v>
      </c>
      <c r="DD26" s="53">
        <v>37.700000000000003</v>
      </c>
      <c r="DE26" s="58"/>
      <c r="DF26" s="58"/>
      <c r="DG26" s="58"/>
      <c r="DH26" s="58"/>
      <c r="DI26" s="88">
        <v>3093.6805513934673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2447.9646688642492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53.755241411813898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5360.9806712616119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1028.8682449305763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>
        <v>26337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65.900000000000006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333.10093733054458</v>
      </c>
      <c r="DD27" s="53">
        <v>33.299999999999997</v>
      </c>
      <c r="DE27" s="58"/>
      <c r="DF27" s="58"/>
      <c r="DG27" s="58"/>
      <c r="DH27" s="58"/>
      <c r="DI27" s="88">
        <v>5701.3514989542182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3902.29916337439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17.801326364705268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4160.9970950499655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333.10093733054458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>
        <v>125805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29.5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935.78365841480502</v>
      </c>
      <c r="DD28" s="53">
        <v>44.7</v>
      </c>
      <c r="DE28" s="58"/>
      <c r="DF28" s="58"/>
      <c r="DG28" s="58"/>
      <c r="DH28" s="58"/>
      <c r="DI28" s="88">
        <v>23407.466297292507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18409.267101003432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24.02239859362254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25113.585291606938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935.78365841480502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>
        <v>167298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4.1000000000000005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954.86959070040041</v>
      </c>
      <c r="DD29" s="53">
        <v>63.7</v>
      </c>
      <c r="DE29" s="58"/>
      <c r="DF29" s="58"/>
      <c r="DG29" s="58"/>
      <c r="DH29" s="58"/>
      <c r="DI29" s="88">
        <v>28595.259890592948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25530.635738009179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15.676160015984301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26049.918140080103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954.86959070040041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>
        <v>289565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18.399999999999999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775.0814153722124</v>
      </c>
      <c r="DD30" s="53">
        <v>45.2</v>
      </c>
      <c r="DE30" s="58"/>
      <c r="DF30" s="58"/>
      <c r="DG30" s="58"/>
      <c r="DH30" s="58"/>
      <c r="DI30" s="88">
        <v>51255.879056182792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41447.228033761305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15.489527479327936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56688.63363612898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775.0814153722124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>
        <v>69874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30.9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1327.8368409633326</v>
      </c>
      <c r="DD31" s="53">
        <v>49.4</v>
      </c>
      <c r="DE31" s="58"/>
      <c r="DF31" s="58"/>
      <c r="DG31" s="58"/>
      <c r="DH31" s="58"/>
      <c r="DI31" s="88">
        <v>13439.134707456426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10042.814614883922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37.005948896437694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13567.49223982064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1327.8368409633326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>
        <v>16824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28.199999999999996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431.9136172765447</v>
      </c>
      <c r="DD32" s="53">
        <v>30.799999999999997</v>
      </c>
      <c r="DE32" s="58"/>
      <c r="DF32" s="58"/>
      <c r="DG32" s="58"/>
      <c r="DH32" s="58"/>
      <c r="DI32" s="88">
        <v>2310.146130773845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1698.5478104379124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24.162262374169746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4844.3431313737256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431.9136172765447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>
        <v>5464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94.699999999999989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539.66540744738268</v>
      </c>
      <c r="DD33" s="53">
        <v>25.700000000000003</v>
      </c>
      <c r="DE33" s="58"/>
      <c r="DF33" s="58"/>
      <c r="DG33" s="58"/>
      <c r="DH33" s="58"/>
      <c r="DI33" s="88">
        <v>825.64490016189961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642.43036517359235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69.04109801045503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1552.015830185285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539.66540744738268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>
        <v>95633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3.1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465.12620282062773</v>
      </c>
      <c r="DD34" s="53">
        <v>39</v>
      </c>
      <c r="DE34" s="58"/>
      <c r="DF34" s="58"/>
      <c r="DG34" s="58"/>
      <c r="DH34" s="58"/>
      <c r="DI34" s="88">
        <v>17464.056135185303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12153.220136977534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15.021420572377444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15518.504373893191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465.12620282062773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>
        <v>20376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62.2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1555.500861432439</v>
      </c>
      <c r="DD35" s="53">
        <v>45.6</v>
      </c>
      <c r="DE35" s="58"/>
      <c r="DF35" s="58"/>
      <c r="DG35" s="58"/>
      <c r="DH35" s="58"/>
      <c r="DI35" s="88">
        <v>3719.1340388875215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2859.5607186807779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39.601537211940332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4414.2149150873738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1555.500861432439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>
        <v>271709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11.700000000000001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799.95737620069724</v>
      </c>
      <c r="DD36" s="53">
        <v>58.8</v>
      </c>
      <c r="DE36" s="58"/>
      <c r="DF36" s="58"/>
      <c r="DG36" s="58"/>
      <c r="DH36" s="58"/>
      <c r="DI36" s="88">
        <v>61193.568795573214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43449.202056598318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25.549824534364582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29313.021311899651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799.95737620069724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>
        <v>17788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31.3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317.06488506397915</v>
      </c>
      <c r="DD37" s="53">
        <v>27.799999999999997</v>
      </c>
      <c r="DE37" s="58"/>
      <c r="DF37" s="58"/>
      <c r="DG37" s="58"/>
      <c r="DH37" s="58"/>
      <c r="DI37" s="88">
        <v>3096.9369267353641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2243.4916091042915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41.644209328607751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4277.297927754501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317.06488506397915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>
        <v>166521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0.70000000000000007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503.28601793261834</v>
      </c>
      <c r="DD38" s="53">
        <v>36.700000000000003</v>
      </c>
      <c r="DE38" s="58"/>
      <c r="DF38" s="58"/>
      <c r="DG38" s="58"/>
      <c r="DH38" s="58"/>
      <c r="DI38" s="88">
        <v>28225.087775768978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23289.384343162885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6.9180160218209172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30631.507640907868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503.28601793261834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>
        <v>163302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1.3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500.72326694113724</v>
      </c>
      <c r="DD39" s="53">
        <v>52.6</v>
      </c>
      <c r="DE39" s="58"/>
      <c r="DF39" s="58"/>
      <c r="DG39" s="58"/>
      <c r="DH39" s="58"/>
      <c r="DI39" s="88">
        <v>27455.240866436703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23865.87974481659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9.3201240990873835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29671.082823337412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500.72326694113724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>
        <v>78845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53.7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1949.9961614248791</v>
      </c>
      <c r="DD40" s="53">
        <v>52.6</v>
      </c>
      <c r="DE40" s="58"/>
      <c r="DF40" s="58"/>
      <c r="DG40" s="58"/>
      <c r="DH40" s="58"/>
      <c r="DI40" s="88">
        <v>14053.162346137115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11011.706937584768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44.140982873375407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16794.18475062057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1949.9961614248791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>
        <v>7755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25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464.6960113592358</v>
      </c>
      <c r="DD41" s="53">
        <v>22.200000000000003</v>
      </c>
      <c r="DE41" s="58"/>
      <c r="DF41" s="58"/>
      <c r="DG41" s="58"/>
      <c r="DH41" s="58"/>
      <c r="DI41" s="88">
        <v>1178.215438234155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853.68065057441595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46.673136456271507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2328.4019620498257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464.6960113592358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>
        <v>53738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4.9000000000000004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430.83900226757368</v>
      </c>
      <c r="DD42" s="53">
        <v>29.599999999999994</v>
      </c>
      <c r="DE42" s="58"/>
      <c r="DF42" s="58"/>
      <c r="DG42" s="58"/>
      <c r="DH42" s="58"/>
      <c r="DI42" s="88">
        <v>10653.162471655329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7599.4792970521548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12.018321428572262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10630.822411186697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430.83900226757368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>
        <v>131761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0.8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399.95676143119664</v>
      </c>
      <c r="DD43" s="53">
        <v>44.7</v>
      </c>
      <c r="DE43" s="58"/>
      <c r="DF43" s="58"/>
      <c r="DG43" s="58"/>
      <c r="DH43" s="58"/>
      <c r="DI43" s="88">
        <v>21333.818506107447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19361.177872662414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4.3345047489592003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28683.151118797967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399.95676143119664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>
        <v>10782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8.1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512.04248056135032</v>
      </c>
      <c r="DD44" s="53">
        <v>20.900000000000006</v>
      </c>
      <c r="DE44" s="58"/>
      <c r="DF44" s="58"/>
      <c r="DG44" s="58"/>
      <c r="DH44" s="58"/>
      <c r="DI44" s="88">
        <v>1793.2512801062014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1448.0964157026362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23.839132877719774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2870.8378532144889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512.04248056135032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>
        <v>94251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1.9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514.37414180161727</v>
      </c>
      <c r="DD45" s="53">
        <v>46.5</v>
      </c>
      <c r="DE45" s="58"/>
      <c r="DF45" s="58"/>
      <c r="DG45" s="58"/>
      <c r="DH45" s="58"/>
      <c r="DI45" s="88">
        <v>14018.195418582856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12627.057971709424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8.0800111872300064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9875.8022383993375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514.37414180161727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>
        <v>119354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4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543.28388711957348</v>
      </c>
      <c r="DD46" s="53">
        <v>53</v>
      </c>
      <c r="DE46" s="58"/>
      <c r="DF46" s="58"/>
      <c r="DG46" s="58"/>
      <c r="DH46" s="58"/>
      <c r="DI46" s="88">
        <v>21491.728834920039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16669.556479384166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7.0737882564568357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21022.175315496363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543.28388711957348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>
        <v>189381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1.3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722.67694874743506</v>
      </c>
      <c r="DD47" s="53">
        <v>33.5</v>
      </c>
      <c r="DE47" s="58"/>
      <c r="DF47" s="58"/>
      <c r="DG47" s="58"/>
      <c r="DH47" s="58"/>
      <c r="DI47" s="88">
        <v>10648.918098491511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48769.589501454364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1.5431719073451158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12030.34165933843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722.67694874743506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>
        <v>219697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41.199999999999996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878.34231086523994</v>
      </c>
      <c r="DD48" s="53">
        <v>57.9</v>
      </c>
      <c r="DE48" s="58"/>
      <c r="DF48" s="58"/>
      <c r="DG48" s="58"/>
      <c r="DH48" s="58"/>
      <c r="DI48" s="88">
        <v>53464.187683796765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35181.371584413064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33.563145091503891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19239.346154219442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878.34231086523994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>
        <v>57626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39.200000000000003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1622.823782882163</v>
      </c>
      <c r="DD49" s="53">
        <v>52.5</v>
      </c>
      <c r="DE49" s="58"/>
      <c r="DF49" s="58"/>
      <c r="DG49" s="58"/>
      <c r="DH49" s="58"/>
      <c r="DI49" s="88">
        <v>10551.18302811273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8254.11298606526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52.279023140217134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11383.222608333044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1622.823782882163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>
        <v>56384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60.6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1109.3944865327701</v>
      </c>
      <c r="DD50" s="53">
        <v>36.200000000000003</v>
      </c>
      <c r="DE50" s="58"/>
      <c r="DF50" s="58"/>
      <c r="DG50" s="58"/>
      <c r="DH50" s="58"/>
      <c r="DI50" s="88">
        <v>12052.82385570426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8328.2451985183252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28.610949743059059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8368.9670346034291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1109.3944865327701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>
        <v>30836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41.199999999999996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896.83184402924462</v>
      </c>
      <c r="DD51" s="53">
        <v>43.9</v>
      </c>
      <c r="DE51" s="58"/>
      <c r="DF51" s="58"/>
      <c r="DG51" s="58"/>
      <c r="DH51" s="58"/>
      <c r="DI51" s="88">
        <v>5038.9681234768477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3811.139223395613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35.608363312203537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8625.0621608448419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896.83184402924462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>
        <v>209268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1.5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418.54981332285325</v>
      </c>
      <c r="DD52" s="53">
        <v>41.8</v>
      </c>
      <c r="DE52" s="58"/>
      <c r="DF52" s="58"/>
      <c r="DG52" s="58"/>
      <c r="DH52" s="58"/>
      <c r="DI52" s="88">
        <v>31228.797583022206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39244.843482020049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1.9958027060829682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35536.288838671644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418.54981332285325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>
        <v>129732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1.4000000000000001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434.83073225495315</v>
      </c>
      <c r="DD53" s="53">
        <v>43.1</v>
      </c>
      <c r="DE53" s="58"/>
      <c r="DF53" s="58"/>
      <c r="DG53" s="58"/>
      <c r="DH53" s="58"/>
      <c r="DI53" s="88">
        <v>20094.787913286847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18769.426289075469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4.3882599150230401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22106.11289787012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434.83073225495315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>
        <v>39814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32.9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593.47181008902078</v>
      </c>
      <c r="DD54" s="53">
        <v>36.9</v>
      </c>
      <c r="DE54" s="58"/>
      <c r="DF54" s="58"/>
      <c r="DG54" s="58"/>
      <c r="DH54" s="58"/>
      <c r="DI54" s="88">
        <v>7876.8411951294383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5518.4737951499028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18.375586900368106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6840.0394965721889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593.47181008902078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>
        <v>186534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1.7999999999999998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515.38711973645729</v>
      </c>
      <c r="DD55" s="53">
        <v>53.3</v>
      </c>
      <c r="DE55" s="58"/>
      <c r="DF55" s="58"/>
      <c r="DG55" s="58"/>
      <c r="DH55" s="58"/>
      <c r="DI55" s="88">
        <v>27724.368816320224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25532.975417027639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8.7081002879881844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23245.856519315981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515.38711973645729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>
        <v>171450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2.2999999999999998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534.53005409914056</v>
      </c>
      <c r="DD56" s="53">
        <v>39.200000000000003</v>
      </c>
      <c r="DE56" s="58"/>
      <c r="DF56" s="58"/>
      <c r="DG56" s="58"/>
      <c r="DH56" s="58"/>
      <c r="DI56" s="88">
        <v>27259.908483755575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22384.989280029138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13.053183723328244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47673.620060736714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534.53005409914056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>
        <v>20799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23.3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369.36236391912905</v>
      </c>
      <c r="DD57" s="53">
        <v>29.700000000000003</v>
      </c>
      <c r="DE57" s="58"/>
      <c r="DF57" s="58"/>
      <c r="DG57" s="58"/>
      <c r="DH57" s="58"/>
      <c r="DI57" s="88">
        <v>2929.4081454121306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2056.8528965785381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15.610809606011626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6103.439055209953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369.36236391912905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>
        <v>17717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27.500000000000004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408.85860306643957</v>
      </c>
      <c r="DD58" s="53">
        <v>28.099999999999994</v>
      </c>
      <c r="DE58" s="58"/>
      <c r="DF58" s="58"/>
      <c r="DG58" s="58"/>
      <c r="DH58" s="58"/>
      <c r="DI58" s="88">
        <v>3315.0207268597387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2461.0633390119251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29.194800459872404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3962.9337308347531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408.85860306643957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>
        <v>15603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51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607.15669810102054</v>
      </c>
      <c r="DD59" s="53">
        <v>26.900000000000006</v>
      </c>
      <c r="DE59" s="58"/>
      <c r="DF59" s="58"/>
      <c r="DG59" s="58"/>
      <c r="DH59" s="58"/>
      <c r="DI59" s="88">
        <v>2245.4129957369851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1817.0913964604056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19.213750069257109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4185.4578865779613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607.15669810102054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>
        <v>63693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4.2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218.13353566009107</v>
      </c>
      <c r="DD60" s="53">
        <v>32.599999999999994</v>
      </c>
      <c r="DE60" s="58"/>
      <c r="DF60" s="58"/>
      <c r="DG60" s="58"/>
      <c r="DH60" s="58"/>
      <c r="DI60" s="88">
        <v>11616.240421092565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10688.793664643399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5.1038754665749373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11236.683943474962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218.13353566009107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>
        <v>11808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78.7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1447.9333277211886</v>
      </c>
      <c r="DD61" s="53">
        <v>30.700000000000003</v>
      </c>
      <c r="DE61" s="58"/>
      <c r="DF61" s="58"/>
      <c r="DG61" s="58"/>
      <c r="DH61" s="58"/>
      <c r="DI61" s="88">
        <v>1764.3909419984848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1389.047832309117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39.780481970206289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3186.8379493223333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1447.9333277211886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>
        <v>112669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0.8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622.74574259233896</v>
      </c>
      <c r="DD62" s="53">
        <v>35.099999999999994</v>
      </c>
      <c r="DE62" s="58"/>
      <c r="DF62" s="58"/>
      <c r="DG62" s="58"/>
      <c r="DH62" s="58"/>
      <c r="DI62" s="88">
        <v>11861.031831255992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12600.738821166051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6.4618211935988397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15070.886919600054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622.74574259233896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>
        <v>7958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72.2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385.30696121243255</v>
      </c>
      <c r="DD63" s="53">
        <v>38.700000000000003</v>
      </c>
      <c r="DE63" s="58"/>
      <c r="DF63" s="58"/>
      <c r="DG63" s="58"/>
      <c r="DH63" s="58"/>
      <c r="DI63" s="88">
        <v>1172.3382995119446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922.74369380940141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37.274968905524879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2196.4734138196764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385.30696121243255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>
        <v>3302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123.53304508956147</v>
      </c>
      <c r="DD64" s="53">
        <v>21.900000000000006</v>
      </c>
      <c r="DE64" s="58"/>
      <c r="DF64" s="58"/>
      <c r="DG64" s="58"/>
      <c r="DH64" s="58"/>
      <c r="DI64" s="88">
        <v>306.94935145151328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286.75799876466954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1591.8536133415689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123.53304508956147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>
        <v>31022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1038.1857703662849</v>
      </c>
      <c r="DD65" s="53">
        <v>24.599999999999994</v>
      </c>
      <c r="DE65" s="58"/>
      <c r="DF65" s="58"/>
      <c r="DG65" s="58"/>
      <c r="DH65" s="58"/>
      <c r="DI65" s="88">
        <v>5129.9073419199949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3830.3710735489735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34.809164360559265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8442.1547545663943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1038.1857703662849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>
        <v>16525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73.7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1165.7559198542806</v>
      </c>
      <c r="DD66" s="53">
        <v>32.200000000000003</v>
      </c>
      <c r="DE66" s="58"/>
      <c r="DF66" s="58"/>
      <c r="DG66" s="58"/>
      <c r="DH66" s="58"/>
      <c r="DI66" s="88">
        <v>2774.2334547662417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2188.4839101396478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45.461679680003172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4334.4262295081971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1165.7559198542806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>
        <v>114038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0.89999999999999991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427.53850990254637</v>
      </c>
      <c r="DD67" s="53">
        <v>29.799999999999997</v>
      </c>
      <c r="DE67" s="58"/>
      <c r="DF67" s="58"/>
      <c r="DG67" s="58"/>
      <c r="DH67" s="58"/>
      <c r="DI67" s="88">
        <v>12168.423586473256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16848.964699330849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1.2444121812379425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18560.943081690395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427.53850990254637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>
        <v>11739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35.099999999999994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587.32078079115558</v>
      </c>
      <c r="DD68" s="53">
        <v>26.5</v>
      </c>
      <c r="DE68" s="58"/>
      <c r="DF68" s="58"/>
      <c r="DG68" s="58"/>
      <c r="DH68" s="58"/>
      <c r="DI68" s="88">
        <v>1595.8875453446192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1260.4875453446191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9.465480428375896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3779.8403869407498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587.32078079115558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>
        <v>39928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15.9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234.14435508500455</v>
      </c>
      <c r="DD69" s="53">
        <v>24.5</v>
      </c>
      <c r="DE69" s="58"/>
      <c r="DF69" s="58"/>
      <c r="DG69" s="58"/>
      <c r="DH69" s="58"/>
      <c r="DI69" s="88">
        <v>7761.6324951644101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5102.6788964674743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8.1236183701115365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8103.0711595235671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234.14435508500455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>
        <v>21094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44.7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1518.008674335282</v>
      </c>
      <c r="DD70" s="53">
        <v>47.1</v>
      </c>
      <c r="DE70" s="58"/>
      <c r="DF70" s="58"/>
      <c r="DG70" s="58"/>
      <c r="DH70" s="58"/>
      <c r="DI70" s="88">
        <v>3968.7985102772018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2835.7368659249482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34.2378844243499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4138.8472562700363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1518.008674335282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>
        <v>6237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57.099999999999994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416.46644241550536</v>
      </c>
      <c r="DD71" s="53">
        <v>19.400000000000006</v>
      </c>
      <c r="DE71" s="58"/>
      <c r="DF71" s="58"/>
      <c r="DG71" s="58"/>
      <c r="DH71" s="58"/>
      <c r="DI71" s="88">
        <v>967.06967803940415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690.73551177318598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30.190243658614165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1845.2248918789044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416.46644241550536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>
        <v>30169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30.8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759.94933671088597</v>
      </c>
      <c r="DD72" s="53">
        <v>33.400000000000006</v>
      </c>
      <c r="DE72" s="58"/>
      <c r="DF72" s="58"/>
      <c r="DG72" s="58"/>
      <c r="DH72" s="58"/>
      <c r="DI72" s="88">
        <v>5245.0337977468171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3972.3890940603965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25.478023411922592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7394.934537697487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759.94933671088597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>
        <v>36150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14.099999999999998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1024.8698025454646</v>
      </c>
      <c r="DD73" s="53">
        <v>44.3</v>
      </c>
      <c r="DE73" s="58"/>
      <c r="DF73" s="58"/>
      <c r="DG73" s="58"/>
      <c r="DH73" s="58"/>
      <c r="DI73" s="88">
        <v>6222.8298103433872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5087.5987968919708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25.511216703639157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7713.8524521681011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1024.8698025454646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>
        <v>46533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46.7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1391.9000953950222</v>
      </c>
      <c r="DD74" s="53">
        <v>40.799999999999997</v>
      </c>
      <c r="DE74" s="58"/>
      <c r="DF74" s="58"/>
      <c r="DG74" s="58"/>
      <c r="DH74" s="58"/>
      <c r="DI74" s="88">
        <v>7889.3430751886217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5926.4906599601072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47.110421703550053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11062.231051079698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1391.9000953950222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>
        <v>3913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711.92473938469368</v>
      </c>
      <c r="DD75" s="53">
        <v>19.299999999999997</v>
      </c>
      <c r="DE75" s="58"/>
      <c r="DF75" s="58"/>
      <c r="DG75" s="58"/>
      <c r="DH75" s="58"/>
      <c r="DI75" s="88">
        <v>671.56750572082376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399.95575896262397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0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1098.3859649122808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711.92473938469368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>
        <v>183462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1.6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462.38503350332229</v>
      </c>
      <c r="DD76" s="53">
        <v>43.2</v>
      </c>
      <c r="DE76" s="58"/>
      <c r="DF76" s="58"/>
      <c r="DG76" s="58"/>
      <c r="DH76" s="58"/>
      <c r="DI76" s="88">
        <v>28001.116385559704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31429.032258353436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4.3972883463781853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32553.801107261013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462.38503350332229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>
        <v>253204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6.8000000000000007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643.18917352639892</v>
      </c>
      <c r="DD77" s="53">
        <v>53</v>
      </c>
      <c r="DE77" s="58"/>
      <c r="DF77" s="58"/>
      <c r="DG77" s="58"/>
      <c r="DH77" s="58"/>
      <c r="DI77" s="88">
        <v>52968.141044529424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38174.717314277084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16.247473672222704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32109.700859898217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643.18917352639892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>
        <v>44824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16.900000000000002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840.18429849128188</v>
      </c>
      <c r="DD78" s="53">
        <v>44.3</v>
      </c>
      <c r="DE78" s="58"/>
      <c r="DF78" s="58"/>
      <c r="DG78" s="58"/>
      <c r="DH78" s="58"/>
      <c r="DI78" s="88">
        <v>8885.6321257566178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7104.4561929713618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36.3315031075023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8073.7058451531302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840.18429849128188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>
        <v>337009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26.3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733.13647261383517</v>
      </c>
      <c r="DD79" s="53">
        <v>56.6</v>
      </c>
      <c r="DE79" s="58"/>
      <c r="DF79" s="58"/>
      <c r="DG79" s="58"/>
      <c r="DH79" s="58"/>
      <c r="DI79" s="88">
        <v>85563.788572204372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49824.427471635703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30.73279160658894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25357.278955959355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733.13647261383517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>
        <v>100706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0.4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496.67514982349559</v>
      </c>
      <c r="DD80" s="53">
        <v>38.700000000000003</v>
      </c>
      <c r="DE80" s="58"/>
      <c r="DF80" s="58"/>
      <c r="DG80" s="58"/>
      <c r="DH80" s="58"/>
      <c r="DI80" s="88">
        <v>10155.548210327559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11713.758812905344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3.0973462198830051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11372.932538379444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496.67514982349559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>
        <v>160137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3.8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593.59522099134188</v>
      </c>
      <c r="DD81" s="53">
        <v>44</v>
      </c>
      <c r="DE81" s="58"/>
      <c r="DF81" s="58"/>
      <c r="DG81" s="58"/>
      <c r="DH81" s="58"/>
      <c r="DI81" s="88">
        <v>29990.243109380317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23064.636228212785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14.610998494589156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28913.540908919051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593.59522099134188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>
        <v>6346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100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939.11410236343704</v>
      </c>
      <c r="DD82" s="53">
        <v>33.5</v>
      </c>
      <c r="DE82" s="58"/>
      <c r="DF82" s="58"/>
      <c r="DG82" s="58"/>
      <c r="DH82" s="58"/>
      <c r="DI82" s="88">
        <v>966.45140084520267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741.97245265299739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40.377000773682873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1891.1854750352168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939.11410236343704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>
        <v>5256451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6.3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568.09922429769085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930522.61354244128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811544.37254572974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770444.93154573429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568.09922429769085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6978719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12.1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698.06194492770169</v>
      </c>
      <c r="DD84" s="53">
        <v>44.9</v>
      </c>
      <c r="DE84" s="58"/>
      <c r="DF84" s="58"/>
      <c r="DG84" s="58"/>
      <c r="DH84" s="58"/>
      <c r="DI84" s="88">
        <v>1235217.5164342502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v>1044394.0456638562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v>1156025.8907637668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698.06194492770169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321</v>
      </c>
      <c r="D85" s="72" t="s">
        <v>300</v>
      </c>
      <c r="E85" s="72" t="s">
        <v>202</v>
      </c>
      <c r="F85" s="72" t="s">
        <v>202</v>
      </c>
      <c r="G85" s="72" t="s">
        <v>202</v>
      </c>
      <c r="H85" s="72" t="s">
        <v>300</v>
      </c>
      <c r="I85" s="72" t="s">
        <v>300</v>
      </c>
      <c r="J85" s="72" t="s">
        <v>201</v>
      </c>
      <c r="K85" s="72" t="s">
        <v>300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341</v>
      </c>
      <c r="AB85" s="72" t="s">
        <v>341</v>
      </c>
      <c r="AC85" s="72" t="s">
        <v>341</v>
      </c>
      <c r="AD85" s="72" t="s">
        <v>341</v>
      </c>
      <c r="AE85" s="72" t="s">
        <v>341</v>
      </c>
      <c r="AF85" s="72"/>
      <c r="AG85" s="72" t="s">
        <v>201</v>
      </c>
      <c r="AH85" s="72" t="s">
        <v>347</v>
      </c>
      <c r="AI85" s="72" t="s">
        <v>326</v>
      </c>
      <c r="AJ85" s="72" t="s">
        <v>327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329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331</v>
      </c>
      <c r="BE85" s="72" t="s">
        <v>201</v>
      </c>
      <c r="BF85" s="72" t="s">
        <v>201</v>
      </c>
      <c r="BG85" s="72" t="s">
        <v>332</v>
      </c>
      <c r="BH85" s="72"/>
      <c r="BI85" s="72"/>
      <c r="BJ85" s="72"/>
      <c r="BK85" s="72" t="s">
        <v>201</v>
      </c>
      <c r="BL85" s="72" t="s">
        <v>201</v>
      </c>
      <c r="BM85" s="72" t="s">
        <v>203</v>
      </c>
      <c r="BN85" s="72" t="s">
        <v>252</v>
      </c>
      <c r="BO85" s="72" t="s">
        <v>201</v>
      </c>
      <c r="BP85" s="72" t="s">
        <v>201</v>
      </c>
      <c r="BQ85" s="72" t="s">
        <v>201</v>
      </c>
      <c r="BR85" s="72" t="s">
        <v>332</v>
      </c>
      <c r="BS85" s="72"/>
      <c r="BT85" s="72"/>
      <c r="BU85" s="72" t="s">
        <v>308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300</v>
      </c>
      <c r="CF85" s="72" t="s">
        <v>300</v>
      </c>
      <c r="CG85" s="72" t="s">
        <v>300</v>
      </c>
      <c r="CH85" s="72" t="s">
        <v>300</v>
      </c>
      <c r="CI85" s="72" t="s">
        <v>300</v>
      </c>
      <c r="CJ85" s="72" t="s">
        <v>288</v>
      </c>
      <c r="CK85" s="72" t="s">
        <v>300</v>
      </c>
      <c r="CL85" s="72"/>
      <c r="CM85" s="72"/>
      <c r="CN85" s="72"/>
      <c r="CO85" s="72" t="s">
        <v>298</v>
      </c>
      <c r="CP85" s="72" t="s">
        <v>298</v>
      </c>
      <c r="CQ85" s="72" t="s">
        <v>298</v>
      </c>
      <c r="CR85" s="72" t="s">
        <v>300</v>
      </c>
      <c r="CS85" s="72" t="s">
        <v>300</v>
      </c>
      <c r="CT85" s="72" t="s">
        <v>300</v>
      </c>
      <c r="CU85" s="72" t="s">
        <v>314</v>
      </c>
      <c r="CV85" s="72"/>
      <c r="CW85" s="72"/>
      <c r="CX85" s="72"/>
      <c r="CY85" s="89" t="s">
        <v>338</v>
      </c>
      <c r="CZ85" s="89" t="s">
        <v>338</v>
      </c>
      <c r="DA85" s="89" t="s">
        <v>338</v>
      </c>
      <c r="DB85" s="89" t="s">
        <v>338</v>
      </c>
      <c r="DC85" s="89" t="s">
        <v>206</v>
      </c>
      <c r="DD85" s="72" t="s">
        <v>255</v>
      </c>
      <c r="DE85" s="72"/>
      <c r="DF85" s="72"/>
      <c r="DG85" s="72"/>
      <c r="DH85" s="72"/>
      <c r="DI85" s="72" t="s">
        <v>342</v>
      </c>
      <c r="DJ85" s="72" t="s">
        <v>294</v>
      </c>
      <c r="DK85" s="72" t="s">
        <v>294</v>
      </c>
      <c r="DL85" s="72" t="s">
        <v>340</v>
      </c>
      <c r="DM85" s="72" t="s">
        <v>204</v>
      </c>
      <c r="DN85" s="72"/>
      <c r="DO85" s="72"/>
      <c r="DP85" s="72"/>
      <c r="DQ85" s="72"/>
      <c r="DR85" s="72"/>
      <c r="DS85" s="72" t="s">
        <v>342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205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342</v>
      </c>
      <c r="EN85" s="72" t="s">
        <v>201</v>
      </c>
      <c r="EO85" s="72" t="s">
        <v>201</v>
      </c>
      <c r="EP85" s="72" t="s">
        <v>227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2024 (update 2025)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218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IF(Health!$K$11=1,CONCATENATE(G12,":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IF(Health!K11=2,"A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71</v>
      </c>
      <c r="B13" s="127" t="str">
        <f>'Data 3 Table'!BU3</f>
        <v>Per cent of persons with  'Fair' or 'poor' self-reported health status, 2023</v>
      </c>
      <c r="C13" s="127"/>
      <c r="D13" s="127"/>
      <c r="E13" s="127"/>
      <c r="F13" s="127"/>
      <c r="G13" s="128">
        <f>VLOOKUP($H$11,'Data 3 Table'!$A$4:$FZ$84,2+$A13)</f>
        <v>16.60399</v>
      </c>
      <c r="H13" s="128"/>
      <c r="I13" s="11"/>
      <c r="J13" s="128">
        <f>VLOOKUP($J$11,'Data 3 Table'!$A$4:$FZ$84,2+$A13)</f>
        <v>19.957821666666671</v>
      </c>
      <c r="K13" s="128"/>
      <c r="M13" s="80">
        <f t="shared" ref="M13:M22" si="0">(G13-J13)/J13*100</f>
        <v>-16.804597829773193</v>
      </c>
      <c r="N13" s="133" t="str">
        <f>'Data 3 Table'!BU85</f>
        <v>Victorian Population Health Survey, 2023  (update 2025)</v>
      </c>
      <c r="O13" s="133"/>
      <c r="P13" s="133"/>
      <c r="Q13" s="5"/>
    </row>
    <row r="14" spans="1:17" ht="23" customHeight="1">
      <c r="A14" s="10">
        <v>72</v>
      </c>
      <c r="B14" s="123" t="str">
        <f>'Data 3 Table'!BV3</f>
        <v>Per cent of persons living with disability, 2021</v>
      </c>
      <c r="C14" s="123"/>
      <c r="D14" s="123"/>
      <c r="E14" s="123"/>
      <c r="F14" s="123"/>
      <c r="G14" s="124">
        <f>VLOOKUP($H$11,'Data 3 Table'!$A$4:$FZ$84,2+$A14)</f>
        <v>6.8297347273097984</v>
      </c>
      <c r="H14" s="124"/>
      <c r="I14" s="11"/>
      <c r="J14" s="125">
        <f>VLOOKUP($J$11,'Data 3 Table'!$A$4:$FZ$84,2+$A14)</f>
        <v>5.8</v>
      </c>
      <c r="K14" s="125"/>
      <c r="M14" s="81">
        <f t="shared" si="0"/>
        <v>17.754047022582732</v>
      </c>
      <c r="N14" s="134" t="str">
        <f>'Data 3 Table'!BV85</f>
        <v>Census 2021 (update 2026)</v>
      </c>
      <c r="O14" s="133"/>
      <c r="P14" s="133"/>
      <c r="Q14" s="5"/>
    </row>
    <row r="15" spans="1:17" ht="23" customHeight="1">
      <c r="A15" s="10">
        <v>73</v>
      </c>
      <c r="B15" s="127" t="str">
        <f>'Data 3 Table'!BW3</f>
        <v>Per cent of persons who have arthritis, 2021</v>
      </c>
      <c r="C15" s="127"/>
      <c r="D15" s="127"/>
      <c r="E15" s="127"/>
      <c r="F15" s="127"/>
      <c r="G15" s="128">
        <f>VLOOKUP($H$11,'Data 3 Table'!$A$4:$FZ$84,2+$A15)</f>
        <v>6.5687726225732144</v>
      </c>
      <c r="H15" s="128"/>
      <c r="I15" s="11"/>
      <c r="J15" s="128">
        <f>VLOOKUP($J$11,'Data 3 Table'!$A$4:$FZ$84,2+$A15)</f>
        <v>6.9480555131920081</v>
      </c>
      <c r="K15" s="128"/>
      <c r="M15" s="80">
        <f t="shared" si="0"/>
        <v>-5.45883506397817</v>
      </c>
      <c r="N15" s="134" t="str">
        <f>'Data 3 Table'!BW85</f>
        <v>Census 2021 (update 2026)</v>
      </c>
      <c r="O15" s="133"/>
      <c r="P15" s="133"/>
      <c r="Q15" s="5"/>
    </row>
    <row r="16" spans="1:17" ht="23" customHeight="1">
      <c r="A16" s="10">
        <v>74</v>
      </c>
      <c r="B16" s="123" t="str">
        <f>'Data 3 Table'!BX3</f>
        <v>Per cent of persons who have asthma, 2021</v>
      </c>
      <c r="C16" s="123"/>
      <c r="D16" s="123"/>
      <c r="E16" s="123"/>
      <c r="F16" s="123"/>
      <c r="G16" s="124">
        <f>VLOOKUP($H$11,'Data 3 Table'!$A$4:$FZ$84,2+$A16)</f>
        <v>6.9629538225293413</v>
      </c>
      <c r="H16" s="124"/>
      <c r="I16" s="11"/>
      <c r="J16" s="125">
        <f>VLOOKUP($J$11,'Data 3 Table'!$A$4:$FZ$84,2+$A16)</f>
        <v>7.8561740633419754</v>
      </c>
      <c r="K16" s="125"/>
      <c r="M16" s="81">
        <f t="shared" si="0"/>
        <v>-11.369659501060788</v>
      </c>
      <c r="N16" s="134" t="str">
        <f>'Data 3 Table'!BX85</f>
        <v>Census 2021 (update 2026)</v>
      </c>
      <c r="O16" s="133"/>
      <c r="P16" s="133"/>
    </row>
    <row r="17" spans="1:17" ht="23" customHeight="1">
      <c r="A17" s="10">
        <v>75</v>
      </c>
      <c r="B17" s="127" t="str">
        <f>'Data 3 Table'!BY3</f>
        <v>Per cent of persons who have cancer, 2021</v>
      </c>
      <c r="C17" s="127"/>
      <c r="D17" s="127"/>
      <c r="E17" s="127"/>
      <c r="F17" s="127"/>
      <c r="G17" s="128">
        <f>VLOOKUP($H$11,'Data 3 Table'!$A$4:$FZ$84,2+$A17)</f>
        <v>2.0545409674234945</v>
      </c>
      <c r="H17" s="128"/>
      <c r="I17" s="11"/>
      <c r="J17" s="128">
        <f>VLOOKUP($J$11,'Data 3 Table'!$A$4:$FZ$84,2+$A17)</f>
        <v>2.4924609831731992</v>
      </c>
      <c r="K17" s="128"/>
      <c r="M17" s="80">
        <f t="shared" si="0"/>
        <v>-17.569784189447191</v>
      </c>
      <c r="N17" s="134" t="str">
        <f>'Data 3 Table'!BY85</f>
        <v>Census 2021 (update 2026)</v>
      </c>
      <c r="O17" s="133"/>
      <c r="P17" s="133"/>
      <c r="Q17" s="5"/>
    </row>
    <row r="18" spans="1:17" ht="23" customHeight="1">
      <c r="A18" s="10">
        <v>76</v>
      </c>
      <c r="B18" s="122" t="str">
        <f>'Data 3 Table'!BZ3</f>
        <v>Per cent of persons who have dementia, 2021</v>
      </c>
      <c r="C18" s="123"/>
      <c r="D18" s="123"/>
      <c r="E18" s="123"/>
      <c r="F18" s="123"/>
      <c r="G18" s="124">
        <f>VLOOKUP($H$11,'Data 3 Table'!$A$4:$FZ$84,2+$A18)</f>
        <v>0.90764505868158385</v>
      </c>
      <c r="H18" s="124"/>
      <c r="I18" s="11"/>
      <c r="J18" s="125">
        <f>VLOOKUP($J$11,'Data 3 Table'!$A$4:$FZ$84,2+$A18)</f>
        <v>0.67292969345737375</v>
      </c>
      <c r="K18" s="125"/>
      <c r="M18" s="81">
        <f t="shared" si="0"/>
        <v>34.87962672865438</v>
      </c>
      <c r="N18" s="134" t="str">
        <f>'Data 3 Table'!BZ85</f>
        <v>Census 2021 (update 2026)</v>
      </c>
      <c r="O18" s="133"/>
      <c r="P18" s="133"/>
    </row>
    <row r="19" spans="1:17" ht="23" customHeight="1">
      <c r="A19" s="10">
        <v>77</v>
      </c>
      <c r="B19" s="127" t="str">
        <f>'Data 3 Table'!CA3</f>
        <v>Per cent of persons who have diabetes mellitus, 2021</v>
      </c>
      <c r="C19" s="127"/>
      <c r="D19" s="127"/>
      <c r="E19" s="127"/>
      <c r="F19" s="127"/>
      <c r="G19" s="128">
        <f>VLOOKUP($H$11,'Data 3 Table'!$A$4:$FZ$84,2+$A19)</f>
        <v>6.6236152243062412</v>
      </c>
      <c r="H19" s="128"/>
      <c r="I19" s="11"/>
      <c r="J19" s="128">
        <f>VLOOKUP($J$11,'Data 3 Table'!$A$4:$FZ$84,2+$A19)</f>
        <v>4.4719434700828637</v>
      </c>
      <c r="K19" s="128"/>
      <c r="M19" s="80">
        <f t="shared" si="0"/>
        <v>48.11491398802292</v>
      </c>
      <c r="N19" s="134" t="str">
        <f>'Data 3 Table'!CA85</f>
        <v>Census 2021 (update 2026)</v>
      </c>
      <c r="O19" s="133"/>
      <c r="P19" s="133"/>
    </row>
    <row r="20" spans="1:17" ht="23" customHeight="1">
      <c r="A20" s="10">
        <v>78</v>
      </c>
      <c r="B20" s="122" t="str">
        <f>'Data 3 Table'!CB3</f>
        <v>Per cent of persons who have heart disease, 2021</v>
      </c>
      <c r="C20" s="122"/>
      <c r="D20" s="122"/>
      <c r="E20" s="122"/>
      <c r="F20" s="122"/>
      <c r="G20" s="124">
        <f>VLOOKUP($H$11,'Data 3 Table'!$A$4:$FZ$84,2+$A20)</f>
        <v>3.4948447954370958</v>
      </c>
      <c r="H20" s="124"/>
      <c r="I20" s="11"/>
      <c r="J20" s="125">
        <f>VLOOKUP($J$11,'Data 3 Table'!$A$4:$FZ$84,2+$A20)</f>
        <v>3.3317472421330896</v>
      </c>
      <c r="K20" s="125"/>
      <c r="M20" s="81">
        <f t="shared" si="0"/>
        <v>4.8952558958099717</v>
      </c>
      <c r="N20" s="134" t="str">
        <f>'Data 3 Table'!CB85</f>
        <v>Census 2021 (update 2026)</v>
      </c>
      <c r="O20" s="133"/>
      <c r="P20" s="133"/>
    </row>
    <row r="21" spans="1:17" ht="23" customHeight="1">
      <c r="A21" s="8">
        <v>79</v>
      </c>
      <c r="B21" s="127" t="str">
        <f>'Data 3 Table'!CC3</f>
        <v>Per cent of persons who have lung disease, 2021</v>
      </c>
      <c r="C21" s="127"/>
      <c r="D21" s="127"/>
      <c r="E21" s="127"/>
      <c r="F21" s="127"/>
      <c r="G21" s="128">
        <f>VLOOKUP($H$11,'Data 3 Table'!$A$4:$FZ$84,2+$A21)</f>
        <v>1.2373862016014041</v>
      </c>
      <c r="H21" s="128"/>
      <c r="I21" s="11"/>
      <c r="J21" s="128">
        <f>VLOOKUP($J$11,'Data 3 Table'!$A$4:$FZ$84,2+$A21)</f>
        <v>1.1982105637740836</v>
      </c>
      <c r="K21" s="128"/>
      <c r="M21" s="80">
        <f t="shared" si="0"/>
        <v>3.2695119715792158</v>
      </c>
      <c r="N21" s="134" t="str">
        <f>'Data 3 Table'!CC85</f>
        <v>Census 2021 (update 2026)</v>
      </c>
      <c r="O21" s="133"/>
      <c r="P21" s="133"/>
    </row>
    <row r="22" spans="1:17" ht="23" customHeight="1">
      <c r="A22" s="8">
        <v>80</v>
      </c>
      <c r="B22" s="122" t="str">
        <f>'Data 3 Table'!CD3</f>
        <v>Per cent of persons who have a mental health condition, 2021</v>
      </c>
      <c r="C22" s="122"/>
      <c r="D22" s="122"/>
      <c r="E22" s="122"/>
      <c r="F22" s="122"/>
      <c r="G22" s="124">
        <f>VLOOKUP($H$11,'Data 3 Table'!$A$4:$FZ$84,2+$A22)</f>
        <v>6.5118734232751994</v>
      </c>
      <c r="H22" s="124"/>
      <c r="I22" s="11"/>
      <c r="J22" s="125">
        <f>VLOOKUP($J$11,'Data 3 Table'!$A$4:$FZ$84,2+$A22)</f>
        <v>8.098724009963906</v>
      </c>
      <c r="K22" s="125"/>
      <c r="M22" s="81">
        <f t="shared" si="0"/>
        <v>-19.593834593405028</v>
      </c>
      <c r="N22" s="134" t="str">
        <f>'Data 3 Table'!CD85</f>
        <v>Census 2021 (update 2026)</v>
      </c>
      <c r="O22" s="133"/>
      <c r="P22" s="133"/>
    </row>
    <row r="23" spans="1:17" ht="23.5" customHeight="1">
      <c r="A23" s="10">
        <v>81</v>
      </c>
      <c r="B23" s="127" t="str">
        <f>'Data 3 Table'!CE3</f>
        <v>Per cent of persons with 'high/very high' levels of psychological distress, 2023</v>
      </c>
      <c r="C23" s="127"/>
      <c r="D23" s="127"/>
      <c r="E23" s="127"/>
      <c r="F23" s="127"/>
      <c r="G23" s="128">
        <f>VLOOKUP($H$11,'Data 3 Table'!$A$4:$FZ$84,2+$A23)</f>
        <v>20.706</v>
      </c>
      <c r="H23" s="128"/>
      <c r="I23" s="11"/>
      <c r="J23" s="128">
        <f>VLOOKUP($J$11,'Data 3 Table'!$A$4:$FZ$84,2+$A23)</f>
        <v>18.840482172413797</v>
      </c>
      <c r="K23" s="128"/>
      <c r="M23" s="80">
        <f t="shared" ref="M23:M26" si="1">(G23-J23)/J23*100</f>
        <v>9.9016458841891577</v>
      </c>
      <c r="N23" s="134" t="str">
        <f>'Data 3 Table'!CE85</f>
        <v>Victorian Population Health Survey, 2023 (update 2025)</v>
      </c>
      <c r="O23" s="133"/>
      <c r="P23" s="133"/>
    </row>
    <row r="24" spans="1:17" ht="23.5" customHeight="1">
      <c r="A24" s="10">
        <v>82</v>
      </c>
      <c r="B24" s="122" t="str">
        <f>'Data 3 Table'!CF3</f>
        <v>Fair' or 'Poor' dental health 2023</v>
      </c>
      <c r="C24" s="122"/>
      <c r="D24" s="122"/>
      <c r="E24" s="122"/>
      <c r="F24" s="122"/>
      <c r="G24" s="124">
        <f>VLOOKUP($H$11,'Data 3 Table'!$A$4:$FZ$84,2+$A24)</f>
        <v>22.379770000000001</v>
      </c>
      <c r="H24" s="124"/>
      <c r="I24" s="11"/>
      <c r="J24" s="125">
        <f>VLOOKUP($J$11,'Data 3 Table'!$A$4:$FZ$84,2+$A24)</f>
        <v>21.143591666666673</v>
      </c>
      <c r="K24" s="125"/>
      <c r="M24" s="81">
        <f t="shared" si="1"/>
        <v>5.8465862982124719</v>
      </c>
      <c r="N24" s="134" t="str">
        <f>'Data 3 Table'!CF85</f>
        <v>Victorian Population Health Survey, 2023 (update 2025)</v>
      </c>
      <c r="O24" s="133"/>
      <c r="P24" s="133"/>
    </row>
    <row r="25" spans="1:17" ht="23.5" customHeight="1">
      <c r="A25" s="8">
        <v>83</v>
      </c>
      <c r="B25" s="127" t="str">
        <f>'Data 3 Table'!CG3</f>
        <v>Per cent of residents with increased lifetime risk of alcohol-related harm, 2023</v>
      </c>
      <c r="C25" s="127"/>
      <c r="D25" s="127"/>
      <c r="E25" s="127"/>
      <c r="F25" s="127"/>
      <c r="G25" s="128">
        <f>VLOOKUP($H$11,'Data 3 Table'!$A$4:$FZ$84,2+$A25)</f>
        <v>7.9093980000000004</v>
      </c>
      <c r="H25" s="128"/>
      <c r="I25" s="11"/>
      <c r="J25" s="128">
        <f>VLOOKUP($J$11,'Data 3 Table'!$A$4:$FZ$84,2+$A25)</f>
        <v>12.577160733333331</v>
      </c>
      <c r="K25" s="128"/>
      <c r="M25" s="80">
        <f t="shared" si="1"/>
        <v>-37.113008510436927</v>
      </c>
      <c r="N25" s="134" t="str">
        <f>'Data 3 Table'!CG85</f>
        <v>Victorian Population Health Survey, 2023 (update 2025)</v>
      </c>
      <c r="O25" s="133"/>
      <c r="P25" s="133"/>
    </row>
    <row r="26" spans="1:17" ht="23.5" customHeight="1">
      <c r="A26" s="8">
        <v>84</v>
      </c>
      <c r="B26" s="122" t="str">
        <f>'Data 3 Table'!CH3</f>
        <v>Daily Smokers, 2023</v>
      </c>
      <c r="C26" s="122"/>
      <c r="D26" s="122"/>
      <c r="E26" s="122"/>
      <c r="F26" s="122"/>
      <c r="G26" s="124">
        <f>VLOOKUP($H$11,'Data 3 Table'!$A$4:$FZ$84,2+$A26)</f>
        <v>13.169499999999999</v>
      </c>
      <c r="H26" s="124"/>
      <c r="I26" s="11"/>
      <c r="J26" s="125">
        <f>VLOOKUP($J$11,'Data 3 Table'!$A$4:$FZ$84,2+$A26)</f>
        <v>9.3053390666666687</v>
      </c>
      <c r="K26" s="125"/>
      <c r="M26" s="81">
        <f t="shared" si="1"/>
        <v>41.526277609543776</v>
      </c>
      <c r="N26" s="134" t="str">
        <f>'Data 3 Table'!CH85</f>
        <v>Victorian Population Health Survey, 2023 (update 2025)</v>
      </c>
      <c r="O26" s="133"/>
      <c r="P26" s="133"/>
    </row>
    <row r="27" spans="1:17" ht="27.5" customHeight="1">
      <c r="A27" s="8">
        <v>85</v>
      </c>
      <c r="B27" s="127" t="str">
        <f>'Data 3 Table'!CI3</f>
        <v>Daily e-cigarette users, 2023</v>
      </c>
      <c r="C27" s="127"/>
      <c r="D27" s="127"/>
      <c r="E27" s="127"/>
      <c r="F27" s="127"/>
      <c r="G27" s="128">
        <f>VLOOKUP($H$11,'Data 3 Table'!$A$4:$FZ$84,2+$A27)</f>
        <v>3.6613739999999999</v>
      </c>
      <c r="H27" s="128"/>
      <c r="I27" s="11"/>
      <c r="J27" s="128">
        <f>VLOOKUP($J$11,'Data 3 Table'!$A$4:$FZ$84,2+$A27)</f>
        <v>4.8591420999999997</v>
      </c>
      <c r="K27" s="128"/>
      <c r="M27" s="80">
        <f t="shared" ref="M27:M30" si="2">(G27-J27)/J27*100</f>
        <v>-24.649785401418903</v>
      </c>
      <c r="N27" s="134" t="str">
        <f>'Data 3 Table'!CI85</f>
        <v>Victorian Population Health Survey, 2023 (update 2025)</v>
      </c>
      <c r="O27" s="133"/>
      <c r="P27" s="133"/>
    </row>
    <row r="28" spans="1:17" ht="27" customHeight="1">
      <c r="A28" s="8">
        <v>86</v>
      </c>
      <c r="B28" s="122" t="str">
        <f>'Data 3 Table'!CJ3</f>
        <v>Number of ambulance callouts to illicit drug-related incidents, per 100,000 pop., 2022/23</v>
      </c>
      <c r="C28" s="122"/>
      <c r="D28" s="122"/>
      <c r="E28" s="122"/>
      <c r="F28" s="122"/>
      <c r="G28" s="124">
        <f>VLOOKUP($H$11,'Data 3 Table'!$A$4:$FZ$84,2+$A28)</f>
        <v>294.27566669922828</v>
      </c>
      <c r="H28" s="124"/>
      <c r="I28" s="11"/>
      <c r="J28" s="125">
        <f>VLOOKUP($J$11,'Data 3 Table'!$A$4:$FZ$84,2+$A28)</f>
        <v>199.26291290129146</v>
      </c>
      <c r="K28" s="125"/>
      <c r="M28" s="81">
        <f t="shared" si="2"/>
        <v>47.682106225659332</v>
      </c>
      <c r="N28" s="134" t="str">
        <f>'Data 3 Table'!CJ85</f>
        <v>Turning Point, 2024 (update, 2025)</v>
      </c>
      <c r="O28" s="133"/>
      <c r="P28" s="133"/>
    </row>
    <row r="29" spans="1:17" ht="32.5" customHeight="1">
      <c r="A29" s="8">
        <v>82</v>
      </c>
      <c r="B29" s="127" t="str">
        <f>'Data 3 Table'!CF3</f>
        <v>Fair' or 'Poor' dental health 2023</v>
      </c>
      <c r="C29" s="127"/>
      <c r="D29" s="127"/>
      <c r="E29" s="127"/>
      <c r="F29" s="127"/>
      <c r="G29" s="128">
        <f>VLOOKUP($H$11,'Data 3 Table'!$A$4:$FZ$84,2+$A29)</f>
        <v>22.379770000000001</v>
      </c>
      <c r="H29" s="128"/>
      <c r="I29" s="11"/>
      <c r="J29" s="128">
        <f>VLOOKUP($J$11,'Data 3 Table'!$A$4:$FZ$84,2+$A29)</f>
        <v>21.143591666666673</v>
      </c>
      <c r="K29" s="128"/>
      <c r="M29" s="80">
        <f t="shared" si="2"/>
        <v>5.8465862982124719</v>
      </c>
      <c r="N29" s="134" t="str">
        <f>'Data 3 Table'!CF85</f>
        <v>Victorian Population Health Survey, 2023 (update 2025)</v>
      </c>
      <c r="O29" s="133"/>
      <c r="P29" s="133"/>
    </row>
    <row r="30" spans="1:17" ht="31" customHeight="1">
      <c r="A30" s="8">
        <v>87</v>
      </c>
      <c r="B30" s="122" t="str">
        <f>'Data 3 Table'!CK3</f>
        <v>Persons experiencing lonliness 2023</v>
      </c>
      <c r="C30" s="122"/>
      <c r="D30" s="122"/>
      <c r="E30" s="122"/>
      <c r="F30" s="122"/>
      <c r="G30" s="124">
        <f>VLOOKUP($H$11,'Data 3 Table'!$A$4:$FZ$84,2+$A30)</f>
        <v>33.080750000000002</v>
      </c>
      <c r="H30" s="124"/>
      <c r="I30" s="11"/>
      <c r="J30" s="125">
        <f>VLOOKUP($J$11,'Data 3 Table'!$A$4:$FZ$84,2+$A30)</f>
        <v>23.47046233333333</v>
      </c>
      <c r="K30" s="125"/>
      <c r="M30" s="81">
        <f t="shared" si="2"/>
        <v>40.946307448822189</v>
      </c>
      <c r="N30" s="134" t="str">
        <f>'Data 3 Table'!CK85</f>
        <v>Victorian Population Health Survey, 2023 (update 2025)</v>
      </c>
      <c r="O30" s="133"/>
      <c r="P30" s="133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290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IF(Nutrition!$K$11=1,CONCATENATE(G12,":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IF(Nutrition!K11=2,"A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91</v>
      </c>
      <c r="B13" s="127" t="str">
        <f>'Data 3 Table'!CO3</f>
        <v>Per cent of residents who meet fruit consumption guidelines, 2017</v>
      </c>
      <c r="C13" s="127"/>
      <c r="D13" s="127"/>
      <c r="E13" s="127"/>
      <c r="F13" s="127"/>
      <c r="G13" s="128">
        <f>VLOOKUP($H$11,'Data 3 Table'!$A$4:$FZ$84,2+$A13)</f>
        <v>37.92</v>
      </c>
      <c r="H13" s="128"/>
      <c r="I13" s="11"/>
      <c r="J13" s="128">
        <f>VLOOKUP($J$11,'Data 3 Table'!$A$4:$FZ$84,2+$A13)</f>
        <v>43.82322580645161</v>
      </c>
      <c r="K13" s="128"/>
      <c r="M13" s="80">
        <f t="shared" ref="M13:M22" si="0">(G13-J13)/J13*100</f>
        <v>-13.470541471601438</v>
      </c>
      <c r="N13" s="133" t="str">
        <f>'Data 3 Table'!CO85</f>
        <v>Victorian Population Health Survey, 2017 (update indeterminate)</v>
      </c>
      <c r="O13" s="133"/>
      <c r="P13" s="133"/>
      <c r="Q13" s="5"/>
    </row>
    <row r="14" spans="1:17" ht="23" customHeight="1">
      <c r="A14" s="10">
        <v>92</v>
      </c>
      <c r="B14" s="123" t="str">
        <f>'Data 3 Table'!CP3</f>
        <v>Per cent of residents who met vegetable consumption guidelines , 2017</v>
      </c>
      <c r="C14" s="123"/>
      <c r="D14" s="123"/>
      <c r="E14" s="123"/>
      <c r="F14" s="123"/>
      <c r="G14" s="124">
        <f>VLOOKUP($H$11,'Data 3 Table'!$A$4:$FZ$84,2+$A14)</f>
        <v>1.49</v>
      </c>
      <c r="H14" s="124"/>
      <c r="I14" s="11"/>
      <c r="J14" s="125">
        <f>VLOOKUP($J$11,'Data 3 Table'!$A$4:$FZ$84,2+$A14)</f>
        <v>5.2574193548387083</v>
      </c>
      <c r="K14" s="125"/>
      <c r="M14" s="81">
        <f t="shared" si="0"/>
        <v>-71.659099275984772</v>
      </c>
      <c r="N14" s="134" t="str">
        <f>'Data 3 Table'!CP85</f>
        <v>Victorian Population Health Survey, 2017 (update indeterminate)</v>
      </c>
      <c r="O14" s="133"/>
      <c r="P14" s="133"/>
      <c r="Q14" s="5"/>
    </row>
    <row r="15" spans="1:17" ht="23" customHeight="1">
      <c r="A15" s="10">
        <v>93</v>
      </c>
      <c r="B15" s="127" t="str">
        <f>'Data 3 Table'!CQ3</f>
        <v>Per cent of residents who consume take-away meals, or snacks, more than once a week, 2017</v>
      </c>
      <c r="C15" s="127"/>
      <c r="D15" s="127"/>
      <c r="E15" s="127"/>
      <c r="F15" s="127"/>
      <c r="G15" s="128">
        <f>VLOOKUP($H$11,'Data 3 Table'!$A$4:$FZ$84,2+$A15)</f>
        <v>15.3</v>
      </c>
      <c r="H15" s="128"/>
      <c r="I15" s="11"/>
      <c r="J15" s="128">
        <f>VLOOKUP($J$11,'Data 3 Table'!$A$4:$FZ$84,2+$A15)</f>
        <v>15.21935483870968</v>
      </c>
      <c r="K15" s="128"/>
      <c r="M15" s="80">
        <f t="shared" si="0"/>
        <v>0.52988554472232474</v>
      </c>
      <c r="N15" s="134" t="str">
        <f>'Data 3 Table'!CQ85</f>
        <v>Victorian Population Health Survey, 2017 (update indeterminate)</v>
      </c>
      <c r="O15" s="133"/>
      <c r="P15" s="133"/>
      <c r="Q15" s="5"/>
    </row>
    <row r="16" spans="1:17" ht="23" customHeight="1">
      <c r="A16" s="10">
        <v>94</v>
      </c>
      <c r="B16" s="123" t="str">
        <f>'Data 3 Table'!CR3</f>
        <v>Consumption off sugar-sweetened drinks: daily or more often 2023</v>
      </c>
      <c r="C16" s="123"/>
      <c r="D16" s="123"/>
      <c r="E16" s="123"/>
      <c r="F16" s="123"/>
      <c r="G16" s="124">
        <f>VLOOKUP($H$11,'Data 3 Table'!$A$4:$FZ$84,2+$A16)</f>
        <v>34.165680000000002</v>
      </c>
      <c r="H16" s="124"/>
      <c r="I16" s="11"/>
      <c r="J16" s="125">
        <f>VLOOKUP($J$11,'Data 3 Table'!$A$4:$FZ$84,2+$A16)</f>
        <v>33.18757333333334</v>
      </c>
      <c r="K16" s="125"/>
      <c r="M16" s="81">
        <f t="shared" si="0"/>
        <v>2.9472075491709995</v>
      </c>
      <c r="N16" s="134" t="str">
        <f>'Data 3 Table'!CR85</f>
        <v>Victorian Population Health Survey, 2023 (update 2025)</v>
      </c>
      <c r="O16" s="133"/>
      <c r="P16" s="133"/>
    </row>
    <row r="17" spans="1:17" ht="23" customHeight="1">
      <c r="A17" s="10">
        <v>95</v>
      </c>
      <c r="B17" s="127" t="str">
        <f>'Data 3 Table'!CS3</f>
        <v>Per cent of residents who ran out food and could not afford to buy more in past year, 2023</v>
      </c>
      <c r="C17" s="127"/>
      <c r="D17" s="127"/>
      <c r="E17" s="127"/>
      <c r="F17" s="127"/>
      <c r="G17" s="128">
        <f>VLOOKUP($H$11,'Data 3 Table'!$A$4:$FZ$84,2+$A17)</f>
        <v>11.82</v>
      </c>
      <c r="H17" s="128"/>
      <c r="I17" s="11"/>
      <c r="J17" s="128">
        <f>VLOOKUP($J$11,'Data 3 Table'!$A$4:$FZ$84,2+$A17)</f>
        <v>7.5439166999999996</v>
      </c>
      <c r="K17" s="128"/>
      <c r="M17" s="80">
        <f t="shared" si="0"/>
        <v>56.682536009444547</v>
      </c>
      <c r="N17" s="134" t="str">
        <f>'Data 3 Table'!CS85</f>
        <v>Victorian Population Health Survey, 2023 (update 2025)</v>
      </c>
      <c r="O17" s="133"/>
      <c r="P17" s="133"/>
      <c r="Q17" s="5"/>
    </row>
    <row r="18" spans="1:17" ht="23" customHeight="1">
      <c r="A18" s="10">
        <v>96</v>
      </c>
      <c r="B18" s="122" t="str">
        <f>'Data 3 Table'!CT3</f>
        <v>Did not do any moderate to vigorous physical activity in the past week 2023</v>
      </c>
      <c r="C18" s="123"/>
      <c r="D18" s="123"/>
      <c r="E18" s="123"/>
      <c r="F18" s="123"/>
      <c r="G18" s="124">
        <f>VLOOKUP($H$11,'Data 3 Table'!$A$4:$FZ$84,2+$A18)</f>
        <v>19.967739999999999</v>
      </c>
      <c r="H18" s="124"/>
      <c r="I18" s="11"/>
      <c r="J18" s="125">
        <f>VLOOKUP($J$11,'Data 3 Table'!$A$4:$FZ$84,2+$A18)</f>
        <v>15.234774199999999</v>
      </c>
      <c r="K18" s="125"/>
      <c r="M18" s="81">
        <f t="shared" si="0"/>
        <v>31.066858870806247</v>
      </c>
      <c r="N18" s="134" t="str">
        <f>'Data 3 Table'!CT85</f>
        <v>Victorian Population Health Survey, 2023 (update 2025)</v>
      </c>
      <c r="O18" s="133"/>
      <c r="P18" s="133"/>
    </row>
    <row r="19" spans="1:17" ht="23" customHeight="1">
      <c r="A19" s="10">
        <v>97</v>
      </c>
      <c r="B19" s="127" t="str">
        <f>'Data 3 Table'!CU3</f>
        <v>Per cent of residents who are obese, 2023</v>
      </c>
      <c r="C19" s="127"/>
      <c r="D19" s="127"/>
      <c r="E19" s="127"/>
      <c r="F19" s="127"/>
      <c r="G19" s="128">
        <f>VLOOKUP($H$11,'Data 3 Table'!$A$4:$FZ$84,2+$A19)</f>
        <v>17.005189999999999</v>
      </c>
      <c r="H19" s="128"/>
      <c r="I19" s="11"/>
      <c r="J19" s="128">
        <f>VLOOKUP($J$11,'Data 3 Table'!$A$4:$FZ$84,2+$A19)</f>
        <v>20.829368666666671</v>
      </c>
      <c r="K19" s="128"/>
      <c r="M19" s="80">
        <f t="shared" si="0"/>
        <v>-18.359551496087935</v>
      </c>
      <c r="N19" s="134" t="str">
        <f>'Data 3 Table'!CU85</f>
        <v>Victorian Population Health Survey, 2023 (update 2026)</v>
      </c>
      <c r="O19" s="133"/>
      <c r="P19" s="133"/>
    </row>
    <row r="20" spans="1:17" ht="23" customHeight="1">
      <c r="A20" s="10">
        <v>98</v>
      </c>
      <c r="B20" s="136">
        <f>'Data 3 Table'!CV3</f>
        <v>0</v>
      </c>
      <c r="C20" s="136"/>
      <c r="D20" s="136"/>
      <c r="E20" s="136"/>
      <c r="F20" s="136"/>
      <c r="G20" s="138">
        <f>VLOOKUP($H$11,'Data 3 Table'!$A$4:$FZ$84,2+$A20)</f>
        <v>0</v>
      </c>
      <c r="H20" s="138"/>
      <c r="I20" s="79"/>
      <c r="J20" s="138">
        <f>VLOOKUP($J$11,'Data 3 Table'!$A$4:$FZ$84,2+$A20)</f>
        <v>0</v>
      </c>
      <c r="K20" s="138"/>
      <c r="L20" s="8"/>
      <c r="M20" s="105" t="e">
        <f t="shared" si="0"/>
        <v>#DIV/0!</v>
      </c>
      <c r="N20" s="153">
        <f>'Data 3 Table'!CV85</f>
        <v>0</v>
      </c>
      <c r="O20" s="154"/>
      <c r="P20" s="154"/>
    </row>
    <row r="21" spans="1:17" ht="23" customHeight="1">
      <c r="A21" s="10">
        <v>99</v>
      </c>
      <c r="B21" s="137">
        <f>'Data 3 Table'!CW3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L21" s="8"/>
      <c r="M21" s="105" t="e">
        <f t="shared" si="0"/>
        <v>#DIV/0!</v>
      </c>
      <c r="N21" s="153">
        <f>'Data 3 Table'!CW85</f>
        <v>0</v>
      </c>
      <c r="O21" s="154"/>
      <c r="P21" s="154"/>
    </row>
    <row r="22" spans="1:17" ht="23" customHeight="1">
      <c r="A22" s="10">
        <v>100</v>
      </c>
      <c r="B22" s="136">
        <f>'Data 3 Table'!CX3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L22" s="8"/>
      <c r="M22" s="105" t="e">
        <f t="shared" si="0"/>
        <v>#DIV/0!</v>
      </c>
      <c r="N22" s="153">
        <f>'Data 3 Table'!CX85</f>
        <v>0</v>
      </c>
      <c r="O22" s="154"/>
      <c r="P22" s="154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219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IF(Safety!$K$11=1,CONCATENATE(G12,":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IF(Safety!K11=2,"A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101</v>
      </c>
      <c r="B13" s="127" t="str">
        <f>'Data 3 Table'!CY3</f>
        <v>Total offence rate, per 100,000 pop., 2024/25</v>
      </c>
      <c r="C13" s="127"/>
      <c r="D13" s="127"/>
      <c r="E13" s="127"/>
      <c r="F13" s="127"/>
      <c r="G13" s="130">
        <f>VLOOKUP($H$11,'Data 3 Table'!$A$4:$FZ$84,2+$A13)</f>
        <v>13466.389317266196</v>
      </c>
      <c r="H13" s="130"/>
      <c r="I13" s="11"/>
      <c r="J13" s="130">
        <f>VLOOKUP($J$11,'Data 3 Table'!$A$4:$FZ$84,2+$A13)</f>
        <v>8818</v>
      </c>
      <c r="K13" s="130"/>
      <c r="M13" s="80">
        <f t="shared" ref="M13:M22" si="0">(G13-J13)/J13*100</f>
        <v>52.71478019127008</v>
      </c>
      <c r="N13" s="133" t="str">
        <f>'Data 3 Table'!CY85</f>
        <v>Crime Statistics Agency 2025 (update 2026)</v>
      </c>
      <c r="O13" s="133"/>
      <c r="P13" s="133"/>
      <c r="Q13" s="5"/>
    </row>
    <row r="14" spans="1:17" ht="23" customHeight="1">
      <c r="A14" s="10">
        <v>102</v>
      </c>
      <c r="B14" s="123" t="str">
        <f>'Data 3 Table'!CZ3</f>
        <v>Property offence rate, per 100,000 pop., 2024/25</v>
      </c>
      <c r="C14" s="123"/>
      <c r="D14" s="123"/>
      <c r="E14" s="123"/>
      <c r="F14" s="123"/>
      <c r="G14" s="147">
        <f>VLOOKUP($H$11,'Data 3 Table'!$A$4:$FZ$84,2+$A14)</f>
        <v>7780.1288718334945</v>
      </c>
      <c r="H14" s="147"/>
      <c r="I14" s="11"/>
      <c r="J14" s="148">
        <f>VLOOKUP($J$11,'Data 3 Table'!$A$4:$FZ$84,2+$A14)</f>
        <v>5643</v>
      </c>
      <c r="K14" s="148"/>
      <c r="M14" s="81">
        <f t="shared" si="0"/>
        <v>37.872211090439386</v>
      </c>
      <c r="N14" s="134" t="str">
        <f>'Data 3 Table'!CZ85</f>
        <v>Crime Statistics Agency 2025 (update 2026)</v>
      </c>
      <c r="O14" s="133"/>
      <c r="P14" s="133"/>
      <c r="Q14" s="5"/>
    </row>
    <row r="15" spans="1:17" ht="23" customHeight="1">
      <c r="A15" s="10">
        <v>103</v>
      </c>
      <c r="B15" s="127" t="str">
        <f>'Data 3 Table'!DA3</f>
        <v>Violent offence rate, per 100,000 pop., 2024/25</v>
      </c>
      <c r="C15" s="127"/>
      <c r="D15" s="127"/>
      <c r="E15" s="127"/>
      <c r="F15" s="127"/>
      <c r="G15" s="130">
        <f>VLOOKUP($H$11,'Data 3 Table'!$A$4:$FZ$84,2+$A15)</f>
        <v>2107.6163492689693</v>
      </c>
      <c r="H15" s="130"/>
      <c r="I15" s="11"/>
      <c r="J15" s="130">
        <f>VLOOKUP($J$11,'Data 3 Table'!$A$4:$FZ$84,2+$A15)</f>
        <v>1260</v>
      </c>
      <c r="K15" s="130"/>
      <c r="M15" s="80">
        <f t="shared" si="0"/>
        <v>67.271138830870584</v>
      </c>
      <c r="N15" s="134" t="str">
        <f>'Data 3 Table'!DA85</f>
        <v>Crime Statistics Agency 2025 (update 2026)</v>
      </c>
      <c r="O15" s="133"/>
      <c r="P15" s="133"/>
      <c r="Q15" s="5"/>
    </row>
    <row r="16" spans="1:17" ht="23" customHeight="1">
      <c r="A16" s="10">
        <v>104</v>
      </c>
      <c r="B16" s="123" t="str">
        <f>'Data 3 Table'!DB3</f>
        <v>Drug offence rate, per 100,000 pop., 2024/25</v>
      </c>
      <c r="C16" s="123"/>
      <c r="D16" s="123"/>
      <c r="E16" s="123"/>
      <c r="F16" s="123"/>
      <c r="G16" s="147">
        <f>VLOOKUP($H$11,'Data 3 Table'!$A$4:$FZ$84,2+$A16)</f>
        <v>862.532726033784</v>
      </c>
      <c r="H16" s="147"/>
      <c r="I16" s="11"/>
      <c r="J16" s="148">
        <f>VLOOKUP($J$11,'Data 3 Table'!$A$4:$FZ$84,2+$A16)</f>
        <v>440</v>
      </c>
      <c r="K16" s="148"/>
      <c r="M16" s="81">
        <f t="shared" si="0"/>
        <v>96.030165007678178</v>
      </c>
      <c r="N16" s="134" t="str">
        <f>'Data 3 Table'!DB85</f>
        <v>Crime Statistics Agency 2025 (update 2026)</v>
      </c>
      <c r="O16" s="133"/>
      <c r="P16" s="133"/>
    </row>
    <row r="17" spans="1:17" ht="23" customHeight="1">
      <c r="A17" s="10">
        <v>105</v>
      </c>
      <c r="B17" s="127" t="str">
        <f>'Data 3 Table'!DC3</f>
        <v>Rate of Family related violent offences, per 100,000 women, female victims, 2023/24</v>
      </c>
      <c r="C17" s="127"/>
      <c r="D17" s="127"/>
      <c r="E17" s="127"/>
      <c r="F17" s="127"/>
      <c r="G17" s="130">
        <f>VLOOKUP($H$11,'Data 3 Table'!$A$4:$FZ$84,2+$A17)</f>
        <v>954.86959070040041</v>
      </c>
      <c r="H17" s="130"/>
      <c r="I17" s="11"/>
      <c r="J17" s="130">
        <f>VLOOKUP($J$11,'Data 3 Table'!$A$4:$FZ$84,2+$A17)</f>
        <v>568.09922429769085</v>
      </c>
      <c r="K17" s="130"/>
      <c r="M17" s="80">
        <f t="shared" si="0"/>
        <v>68.081481167458378</v>
      </c>
      <c r="N17" s="133" t="str">
        <f>'Data 3 Table'!DC85</f>
        <v>Crime Statistics Agency, 2024 (update 2025)</v>
      </c>
      <c r="O17" s="133"/>
      <c r="P17" s="133"/>
      <c r="Q17" s="5"/>
    </row>
    <row r="18" spans="1:17" ht="23" customHeight="1">
      <c r="A18" s="10">
        <v>106</v>
      </c>
      <c r="B18" s="123" t="str">
        <f>'Data 3 Table'!DD3</f>
        <v>Per cent of people who do not feel safe walking alone at night in their neighbourhood, 2015</v>
      </c>
      <c r="C18" s="123"/>
      <c r="D18" s="123"/>
      <c r="E18" s="123"/>
      <c r="F18" s="123"/>
      <c r="G18" s="124">
        <f>VLOOKUP($H$11,'Data 3 Table'!$A$4:$FZ$84,2+$A18)</f>
        <v>63.7</v>
      </c>
      <c r="H18" s="124"/>
      <c r="I18" s="11"/>
      <c r="J18" s="125">
        <f>VLOOKUP($J$11,'Data 3 Table'!$A$4:$FZ$84,2+$A18)</f>
        <v>44.5</v>
      </c>
      <c r="K18" s="125"/>
      <c r="M18" s="81">
        <f t="shared" si="0"/>
        <v>43.146067415730343</v>
      </c>
      <c r="N18" s="133" t="str">
        <f>'Data 3 Table'!DD85</f>
        <v>Dept. Transport, Planning and Local Infrastructure, 2015</v>
      </c>
      <c r="O18" s="133"/>
      <c r="P18" s="133"/>
    </row>
    <row r="19" spans="1:17" ht="23" customHeight="1">
      <c r="A19" s="10">
        <v>107</v>
      </c>
      <c r="B19" s="137">
        <f>'Data 3 Table'!DE3</f>
        <v>0</v>
      </c>
      <c r="C19" s="137"/>
      <c r="D19" s="137"/>
      <c r="E19" s="137"/>
      <c r="F19" s="137"/>
      <c r="G19" s="138">
        <f>VLOOKUP($H$11,'Data 3 Table'!$A$4:$FZ$84,2+$A19)</f>
        <v>0</v>
      </c>
      <c r="H19" s="138"/>
      <c r="I19" s="79"/>
      <c r="J19" s="138">
        <f>VLOOKUP($J$11,'Data 3 Table'!$A$4:$FZ$84,2+$A19)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108</v>
      </c>
      <c r="B20" s="136">
        <f>'Data 3 Table'!DF3</f>
        <v>0</v>
      </c>
      <c r="C20" s="136"/>
      <c r="D20" s="136"/>
      <c r="E20" s="136"/>
      <c r="F20" s="136"/>
      <c r="G20" s="138">
        <f>VLOOKUP($H$11,'Data 3 Table'!$A$4:$FZ$84,2+$A20)</f>
        <v>0</v>
      </c>
      <c r="H20" s="138"/>
      <c r="I20" s="79"/>
      <c r="J20" s="138">
        <f>VLOOKUP($J$11,'Data 3 Table'!$A$4:$FZ$84,2+$A20)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109</v>
      </c>
      <c r="B21" s="137">
        <f>'Data 3 Table'!DG3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110</v>
      </c>
      <c r="B22" s="136">
        <f>'Data 3 Table'!DH3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220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IF('Early Years'!$K$11=1,CONCATENATE(G12,":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IF('Early Years'!K11=2,"A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111</v>
      </c>
      <c r="B13" s="127" t="str">
        <f>'Data 3 Table'!DI3</f>
        <v>Population aged 0-14 years, 2024</v>
      </c>
      <c r="C13" s="127"/>
      <c r="D13" s="127"/>
      <c r="E13" s="127"/>
      <c r="F13" s="127"/>
      <c r="G13" s="130">
        <f>VLOOKUP($H$11,'Data 3 Table'!$A$4:$HH$84,2+$A13)</f>
        <v>28595.259890592948</v>
      </c>
      <c r="H13" s="130"/>
      <c r="I13" s="11"/>
      <c r="J13" s="130">
        <f>VLOOKUP($J$11,'Data 3 Table'!$A$4:$HH$84,2+$A13)</f>
        <v>930522.61354244128</v>
      </c>
      <c r="K13" s="130"/>
      <c r="M13" s="80">
        <f t="shared" ref="M13:M22" si="0">(G13-J13)/J13*100</f>
        <v>-96.926967762585321</v>
      </c>
      <c r="N13" s="133" t="str">
        <f>'Data 3 Table'!DI85</f>
        <v>ABS 'Regional Population Growth' 2025 (update 2026)</v>
      </c>
      <c r="O13" s="133"/>
      <c r="P13" s="133"/>
      <c r="Q13" s="5"/>
    </row>
    <row r="14" spans="1:17" ht="23" customHeight="1">
      <c r="A14" s="10">
        <v>112</v>
      </c>
      <c r="B14" s="123" t="str">
        <f>'Data 3 Table'!DJ3</f>
        <v>Participation in 4 week Key ages and States, 2023/4</v>
      </c>
      <c r="C14" s="123"/>
      <c r="D14" s="123"/>
      <c r="E14" s="123"/>
      <c r="F14" s="123"/>
      <c r="G14" s="124">
        <f>VLOOKUP($H$11,'Data 3 Table'!$A$4:$HH$84,2+$A14)</f>
        <v>96.540540540540547</v>
      </c>
      <c r="H14" s="124"/>
      <c r="I14" s="11"/>
      <c r="J14" s="125">
        <f>VLOOKUP($J$11,'Data 3 Table'!$A$4:$HH$84,2+$A14)</f>
        <v>122.4258064516129</v>
      </c>
      <c r="K14" s="125"/>
      <c r="M14" s="81">
        <f t="shared" si="0"/>
        <v>-21.143635203500288</v>
      </c>
      <c r="N14" s="134" t="str">
        <f>'Data 3 Table'!DJ85</f>
        <v>Victorian Government, 'Know your Council', 2024 (update indeterminate)</v>
      </c>
      <c r="O14" s="133"/>
      <c r="P14" s="133"/>
      <c r="Q14" s="5"/>
    </row>
    <row r="15" spans="1:17" ht="23" customHeight="1">
      <c r="A15" s="10">
        <v>113</v>
      </c>
      <c r="B15" s="127" t="str">
        <f>'Data 3 Table'!DK3</f>
        <v>Participation in the Maternal and Child Health Service, 2023/4</v>
      </c>
      <c r="C15" s="127"/>
      <c r="D15" s="127"/>
      <c r="E15" s="127"/>
      <c r="F15" s="127"/>
      <c r="G15" s="128">
        <f>VLOOKUP($H$11,'Data 3 Table'!$A$4:$HH$84,2+$A15)</f>
        <v>72.80913978494624</v>
      </c>
      <c r="H15" s="128"/>
      <c r="I15" s="11"/>
      <c r="J15" s="128">
        <f>VLOOKUP($J$11,'Data 3 Table'!$A$4:$HH$84,2+$A15)</f>
        <v>73.680645161290315</v>
      </c>
      <c r="K15" s="128"/>
      <c r="M15" s="80">
        <f t="shared" si="0"/>
        <v>-1.1828145294280603</v>
      </c>
      <c r="N15" s="134" t="str">
        <f>'Data 3 Table'!DK85</f>
        <v>Victorian Government, 'Know your Council', 2024 (update indeterminate)</v>
      </c>
      <c r="O15" s="133"/>
      <c r="P15" s="133"/>
      <c r="Q15" s="5"/>
    </row>
    <row r="16" spans="1:17" ht="23" customHeight="1">
      <c r="A16" s="10">
        <v>114</v>
      </c>
      <c r="B16" s="123" t="str">
        <f>'Data 3 Table'!DL3</f>
        <v>Per cent of prep. pupils developmentally vulnerable in 2 or more domains, 2024</v>
      </c>
      <c r="C16" s="123"/>
      <c r="D16" s="123"/>
      <c r="E16" s="123"/>
      <c r="F16" s="123"/>
      <c r="G16" s="124">
        <f>VLOOKUP($H$11,'Data 3 Table'!$A$4:$HH$84,2+$A16)</f>
        <v>16.100000000000001</v>
      </c>
      <c r="H16" s="124"/>
      <c r="I16" s="11"/>
      <c r="J16" s="125">
        <f>VLOOKUP($J$11,'Data 3 Table'!$A$4:$HH$84,2+$A16)</f>
        <v>10.161290322580648</v>
      </c>
      <c r="K16" s="125"/>
      <c r="M16" s="81">
        <f t="shared" si="0"/>
        <v>58.444444444444422</v>
      </c>
      <c r="N16" s="134" t="str">
        <f>'Data 3 Table'!DL85</f>
        <v>Commonwealth Early Development Index, 2024 (update 2027)</v>
      </c>
      <c r="O16" s="133"/>
      <c r="P16" s="133"/>
    </row>
    <row r="17" spans="1:17" ht="23" customHeight="1">
      <c r="A17" s="10">
        <v>115</v>
      </c>
      <c r="B17" s="127" t="str">
        <f>'Data 3 Table'!DM3</f>
        <v xml:space="preserve"> Child protection investigations completed per 1,000 eligible pop., 2014</v>
      </c>
      <c r="C17" s="127"/>
      <c r="D17" s="127"/>
      <c r="E17" s="127"/>
      <c r="F17" s="127"/>
      <c r="G17" s="128">
        <f>VLOOKUP($H$11,'Data 3 Table'!$A$4:$HI$84,2+$A17)</f>
        <v>23.5</v>
      </c>
      <c r="H17" s="128"/>
      <c r="I17" s="11"/>
      <c r="J17" s="128">
        <f>VLOOKUP($J$11,'Data 3 Table'!$A$4:$HI$84,2+$A17)</f>
        <v>12.725806451612904</v>
      </c>
      <c r="K17" s="128"/>
      <c r="M17" s="80">
        <f t="shared" si="0"/>
        <v>84.664131812420777</v>
      </c>
      <c r="N17" s="134" t="str">
        <f>'Data 3 Table'!DM85</f>
        <v>Dept. Health and Human Services 2015 (update undetermined)</v>
      </c>
      <c r="O17" s="133"/>
      <c r="P17" s="133"/>
      <c r="Q17" s="5"/>
    </row>
    <row r="18" spans="1:17" ht="23" customHeight="1">
      <c r="A18" s="10">
        <v>116</v>
      </c>
      <c r="B18" s="136">
        <f>'Data 3 Table'!DN3</f>
        <v>0</v>
      </c>
      <c r="C18" s="137"/>
      <c r="D18" s="137"/>
      <c r="E18" s="137"/>
      <c r="F18" s="137"/>
      <c r="G18" s="138">
        <f>VLOOKUP($H$11,'Data 3 Table'!$A$4:$HI$84,2+$A18)</f>
        <v>0</v>
      </c>
      <c r="H18" s="138"/>
      <c r="I18" s="79"/>
      <c r="J18" s="138">
        <f>VLOOKUP($J$11,'Data 3 Table'!$A$4:$HI$84,2+$A18)</f>
        <v>0</v>
      </c>
      <c r="K18" s="138"/>
      <c r="M18" s="27" t="e">
        <f t="shared" si="0"/>
        <v>#DIV/0!</v>
      </c>
      <c r="N18" s="133"/>
      <c r="O18" s="133"/>
      <c r="P18" s="133"/>
    </row>
    <row r="19" spans="1:17" ht="23" customHeight="1">
      <c r="A19" s="10">
        <v>117</v>
      </c>
      <c r="B19" s="136">
        <f>'Data 3 Table'!DO3</f>
        <v>0</v>
      </c>
      <c r="C19" s="137"/>
      <c r="D19" s="137"/>
      <c r="E19" s="137"/>
      <c r="F19" s="137"/>
      <c r="G19" s="138">
        <f>VLOOKUP($H$11,'Data 3 Table'!$A$4:$HI$84,2+$A19)</f>
        <v>0</v>
      </c>
      <c r="H19" s="138"/>
      <c r="I19" s="79"/>
      <c r="J19" s="138">
        <f>VLOOKUP($J$11,'Data 3 Table'!$A$4:$HI$84,2+$A19)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118</v>
      </c>
      <c r="B20" s="136">
        <f>'Data 3 Table'!DP3</f>
        <v>0</v>
      </c>
      <c r="C20" s="137"/>
      <c r="D20" s="137"/>
      <c r="E20" s="137"/>
      <c r="F20" s="137"/>
      <c r="G20" s="138">
        <f>VLOOKUP($H$11,'Data 3 Table'!$A$4:$HI$84,2+$A20)</f>
        <v>0</v>
      </c>
      <c r="H20" s="138"/>
      <c r="I20" s="79"/>
      <c r="J20" s="138">
        <f>VLOOKUP($J$11,'Data 3 Table'!$A$4:$HI$84,2+$A20)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119</v>
      </c>
      <c r="B21" s="136">
        <f>'Data 3 Table'!DQ3</f>
        <v>0</v>
      </c>
      <c r="C21" s="136"/>
      <c r="D21" s="136"/>
      <c r="E21" s="136"/>
      <c r="F21" s="136"/>
      <c r="G21" s="8"/>
      <c r="H21" s="8"/>
      <c r="I21" s="8"/>
      <c r="J21" s="138"/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120</v>
      </c>
      <c r="B22" s="136">
        <f>'Data 3 Table'!DR3</f>
        <v>0</v>
      </c>
      <c r="C22" s="136"/>
      <c r="D22" s="136"/>
      <c r="E22" s="136"/>
      <c r="F22" s="136"/>
      <c r="G22" s="138"/>
      <c r="H22" s="138"/>
      <c r="I22" s="79"/>
      <c r="J22" s="138"/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221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IF('Young People'!$K$11=1,CONCATENATE(G12,":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IF('Young People'!K11=2,"A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121</v>
      </c>
      <c r="B13" s="127" t="str">
        <f>'Data 3 Table'!DS3</f>
        <v>Population aged 12-24, 2024</v>
      </c>
      <c r="C13" s="127"/>
      <c r="D13" s="127"/>
      <c r="E13" s="127"/>
      <c r="F13" s="127"/>
      <c r="G13" s="130">
        <f>VLOOKUP($H$11,'Data 3 Table'!$A$4:$HH$84,2+$A13)</f>
        <v>25530.635738009179</v>
      </c>
      <c r="H13" s="130"/>
      <c r="I13" s="11"/>
      <c r="J13" s="130">
        <f>VLOOKUP($J$11,'Data 3 Table'!$A$4:$HH$84,2+$A13)</f>
        <v>811544.37254572974</v>
      </c>
      <c r="K13" s="130"/>
      <c r="M13" s="80">
        <f t="shared" ref="M13:M22" si="0">(G13-J13)/J13*100</f>
        <v>-96.8540677994079</v>
      </c>
      <c r="N13" s="133" t="str">
        <f>'Data 3 Table'!DS85</f>
        <v>ABS 'Regional Population Growth' 2025 (update 2026)</v>
      </c>
      <c r="O13" s="133"/>
      <c r="P13" s="133"/>
      <c r="Q13" s="5"/>
    </row>
    <row r="14" spans="1:17" ht="23" customHeight="1">
      <c r="A14" s="10">
        <v>122</v>
      </c>
      <c r="B14" s="123" t="str">
        <f>'Data 3 Table'!DT3</f>
        <v>Per cent of women aged 20-24, who had given birth, 2021</v>
      </c>
      <c r="C14" s="123"/>
      <c r="D14" s="123"/>
      <c r="E14" s="123"/>
      <c r="F14" s="123"/>
      <c r="G14" s="124">
        <f>VLOOKUP($H$11,'Data 3 Table'!$A$4:$HH$84,2+$A14)</f>
        <v>7.8259092766653051</v>
      </c>
      <c r="H14" s="124"/>
      <c r="I14" s="11"/>
      <c r="J14" s="125">
        <f>VLOOKUP($J$11,'Data 3 Table'!$A$4:$HH$84,2+$A14)</f>
        <v>4.1288689106122556</v>
      </c>
      <c r="K14" s="125"/>
      <c r="M14" s="81">
        <f t="shared" si="0"/>
        <v>89.54123868042177</v>
      </c>
      <c r="N14" s="134" t="str">
        <f>'Data 3 Table'!DT85</f>
        <v>Census 2021 (update 2026)</v>
      </c>
      <c r="O14" s="133"/>
      <c r="P14" s="133"/>
      <c r="Q14" s="5"/>
    </row>
    <row r="15" spans="1:17" ht="23" customHeight="1">
      <c r="A15" s="10">
        <v>123</v>
      </c>
      <c r="B15" s="127" t="str">
        <f>'Data 3 Table'!DU3</f>
        <v>Per cent of  20-24 year olds who had left school before completing year 11, 2021</v>
      </c>
      <c r="C15" s="127"/>
      <c r="D15" s="127"/>
      <c r="E15" s="127"/>
      <c r="F15" s="127"/>
      <c r="G15" s="128">
        <f>VLOOKUP($H$11,'Data 3 Table'!$A$4:$HH$84,2+$A15)</f>
        <v>8.1360390830514842</v>
      </c>
      <c r="H15" s="128"/>
      <c r="I15" s="11"/>
      <c r="J15" s="128">
        <f>VLOOKUP($J$11,'Data 3 Table'!$A$4:$HH$84,2+$A15)</f>
        <v>6.3273493484426542</v>
      </c>
      <c r="K15" s="128"/>
      <c r="M15" s="80">
        <f t="shared" si="0"/>
        <v>28.5852674636023</v>
      </c>
      <c r="N15" s="134" t="str">
        <f>'Data 3 Table'!DU85</f>
        <v>Census 2021 (update 2026)</v>
      </c>
      <c r="O15" s="133"/>
      <c r="P15" s="133"/>
      <c r="Q15" s="5"/>
    </row>
    <row r="16" spans="1:17" ht="23" customHeight="1">
      <c r="A16" s="10">
        <v>124</v>
      </c>
      <c r="B16" s="123" t="str">
        <f>'Data 3 Table'!DV3</f>
        <v>Per cent of 20-24 year-olds who are not in paid employment or in formal educations, 2021</v>
      </c>
      <c r="C16" s="123"/>
      <c r="D16" s="123"/>
      <c r="E16" s="123"/>
      <c r="F16" s="123"/>
      <c r="G16" s="124">
        <f>VLOOKUP($H$11,'Data 3 Table'!$A$4:$HH$84,2+$A16)</f>
        <v>13.187019320952917</v>
      </c>
      <c r="H16" s="124"/>
      <c r="I16" s="11"/>
      <c r="J16" s="125">
        <f>VLOOKUP($J$11,'Data 3 Table'!$A$4:$HH$84,2+$A16)</f>
        <v>9.4889317053000841</v>
      </c>
      <c r="K16" s="125"/>
      <c r="M16" s="81">
        <f t="shared" si="0"/>
        <v>38.972644450452201</v>
      </c>
      <c r="N16" s="134" t="str">
        <f>'Data 3 Table'!DV85</f>
        <v>Census 2021 (update 2026)</v>
      </c>
      <c r="O16" s="133"/>
      <c r="P16" s="133"/>
    </row>
    <row r="17" spans="1:17" ht="23" customHeight="1">
      <c r="A17" s="10">
        <v>125</v>
      </c>
      <c r="B17" s="127" t="str">
        <f>'Data 3 Table'!DW3</f>
        <v>Unemployment rate among 20-24 year olds, 2021</v>
      </c>
      <c r="C17" s="127"/>
      <c r="D17" s="127"/>
      <c r="E17" s="127"/>
      <c r="F17" s="127"/>
      <c r="G17" s="128">
        <f>VLOOKUP($H$11,'Data 3 Table'!$A$4:$HI$84,2+$A17)</f>
        <v>11.116631474351012</v>
      </c>
      <c r="H17" s="128"/>
      <c r="I17" s="11"/>
      <c r="J17" s="128">
        <f>VLOOKUP($J$11,'Data 3 Table'!$A$4:$HI$84,2+$A17)</f>
        <v>9.2367053062979974</v>
      </c>
      <c r="K17" s="128"/>
      <c r="M17" s="80">
        <f t="shared" si="0"/>
        <v>20.352778460640039</v>
      </c>
      <c r="N17" s="134" t="str">
        <f>'Data 3 Table'!DW85</f>
        <v>Census 2021 (update 2026)</v>
      </c>
      <c r="O17" s="133"/>
      <c r="P17" s="133"/>
      <c r="Q17" s="5"/>
    </row>
    <row r="18" spans="1:17" ht="23" customHeight="1">
      <c r="A18" s="10">
        <v>126</v>
      </c>
      <c r="B18" s="136">
        <f>'Data 3 Table'!DX3</f>
        <v>0</v>
      </c>
      <c r="C18" s="137"/>
      <c r="D18" s="137"/>
      <c r="E18" s="137"/>
      <c r="F18" s="137"/>
      <c r="G18" s="138">
        <f>VLOOKUP($H$11,'Data 3 Table'!$A$4:$HI$84,2+$A18)</f>
        <v>0</v>
      </c>
      <c r="H18" s="138"/>
      <c r="I18" s="79"/>
      <c r="J18" s="138">
        <f>VLOOKUP($J$11,'Data 3 Table'!$A$4:$HI$84,2+$A18)</f>
        <v>0</v>
      </c>
      <c r="K18" s="138"/>
      <c r="M18" s="27" t="e">
        <f t="shared" si="0"/>
        <v>#DIV/0!</v>
      </c>
      <c r="N18" s="133"/>
      <c r="O18" s="133"/>
      <c r="P18" s="133"/>
    </row>
    <row r="19" spans="1:17" ht="23" customHeight="1">
      <c r="A19" s="10">
        <v>127</v>
      </c>
      <c r="B19" s="136">
        <f>'Data 3 Table'!DY3</f>
        <v>0</v>
      </c>
      <c r="C19" s="137"/>
      <c r="D19" s="137"/>
      <c r="E19" s="137"/>
      <c r="F19" s="137"/>
      <c r="G19" s="138">
        <f>VLOOKUP($H$11,'Data 3 Table'!$A$4:$HI$84,2+$A19)</f>
        <v>0</v>
      </c>
      <c r="H19" s="138"/>
      <c r="I19" s="79"/>
      <c r="J19" s="138">
        <f>VLOOKUP($J$11,'Data 3 Table'!$A$4:$HI$84,2+$A19)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128</v>
      </c>
      <c r="B20" s="136">
        <f>'Data 3 Table'!DZ3</f>
        <v>0</v>
      </c>
      <c r="C20" s="137"/>
      <c r="D20" s="137"/>
      <c r="E20" s="137"/>
      <c r="F20" s="137"/>
      <c r="G20" s="138">
        <f>VLOOKUP($H$11,'Data 3 Table'!$A$4:$HI$84,2+$A20)</f>
        <v>0</v>
      </c>
      <c r="H20" s="138"/>
      <c r="I20" s="79"/>
      <c r="J20" s="138">
        <f>VLOOKUP($J$11,'Data 3 Table'!$A$4:$HI$84,2+$A20)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129</v>
      </c>
      <c r="B21" s="136">
        <f>'Data 3 Table'!EA3</f>
        <v>0</v>
      </c>
      <c r="C21" s="137"/>
      <c r="D21" s="137"/>
      <c r="E21" s="137"/>
      <c r="F21" s="137"/>
      <c r="G21" s="138">
        <f>VLOOKUP($H$11,'Data 3 Table'!$A$4:$HI$84,2+$A21)</f>
        <v>0</v>
      </c>
      <c r="H21" s="138"/>
      <c r="I21" s="79"/>
      <c r="J21" s="138">
        <f>VLOOKUP($J$11,'Data 3 Table'!$A$4:$HI$84,2+$A21)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130</v>
      </c>
      <c r="B22" s="136">
        <f>'Data 3 Table'!EB3</f>
        <v>0</v>
      </c>
      <c r="C22" s="137"/>
      <c r="D22" s="137"/>
      <c r="E22" s="137"/>
      <c r="F22" s="137"/>
      <c r="G22" s="138">
        <f>VLOOKUP($H$11,'Data 3 Table'!$A$4:$HI$84,2+$A22)</f>
        <v>0</v>
      </c>
      <c r="H22" s="138"/>
      <c r="I22" s="79"/>
      <c r="J22" s="138">
        <f>VLOOKUP($J$11,'Data 3 Table'!$A$4:$HI$84,2+$A22)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IF(Families!$K$11=1,CONCATENATE(G12,":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IF(Families!K11=2,"A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131</v>
      </c>
      <c r="B13" s="127" t="str">
        <f>'Data 3 Table'!EC3</f>
        <v>Per cent of families with children that are one-parent families, 2021</v>
      </c>
      <c r="C13" s="127"/>
      <c r="D13" s="127"/>
      <c r="E13" s="127"/>
      <c r="F13" s="127"/>
      <c r="G13" s="128">
        <f>VLOOKUP($H$11,'Data 3 Table'!$A$4:$HH$84,2+$A13)</f>
        <v>28.44053851907255</v>
      </c>
      <c r="H13" s="128"/>
      <c r="I13" s="11"/>
      <c r="J13" s="128">
        <f>VLOOKUP($J$11,'Data 3 Table'!$A$4:$HH$84,2+$A13)</f>
        <v>23.851661100670615</v>
      </c>
      <c r="K13" s="128"/>
      <c r="M13" s="80">
        <f t="shared" ref="M13:M22" si="0">(G13-J13)/J13*100</f>
        <v>19.239236206793638</v>
      </c>
      <c r="N13" s="133" t="str">
        <f>'Data 3 Table'!EC85</f>
        <v>Census 2021 (update 2026)</v>
      </c>
      <c r="O13" s="133"/>
      <c r="P13" s="133"/>
      <c r="Q13" s="5"/>
    </row>
    <row r="14" spans="1:17" ht="23" customHeight="1">
      <c r="A14" s="10">
        <v>132</v>
      </c>
      <c r="B14" s="123" t="str">
        <f>'Data 3 Table'!ED3</f>
        <v>Per cent of two-parent families with no parent in paid work, 2021</v>
      </c>
      <c r="C14" s="123"/>
      <c r="D14" s="123"/>
      <c r="E14" s="123"/>
      <c r="F14" s="123"/>
      <c r="G14" s="124">
        <f>VLOOKUP($H$11,'Data 3 Table'!$A$4:$HH$84,2+$A14)</f>
        <v>17.121865516690622</v>
      </c>
      <c r="H14" s="124"/>
      <c r="I14" s="11"/>
      <c r="J14" s="125">
        <f>VLOOKUP($J$11,'Data 3 Table'!$A$4:$HH$84,2+$A14)</f>
        <v>8.4970204700647898</v>
      </c>
      <c r="K14" s="125"/>
      <c r="M14" s="81">
        <f t="shared" si="0"/>
        <v>101.50434587054806</v>
      </c>
      <c r="N14" s="134" t="str">
        <f>'Data 3 Table'!ED85</f>
        <v>Census 2021 (update 2026)</v>
      </c>
      <c r="O14" s="133"/>
      <c r="P14" s="133"/>
      <c r="Q14" s="5"/>
    </row>
    <row r="15" spans="1:17" ht="23" customHeight="1">
      <c r="A15" s="10">
        <v>133</v>
      </c>
      <c r="B15" s="127" t="str">
        <f>'Data 3 Table'!EE3</f>
        <v>Birth rate per 1,000 women aged 20-24, 2023</v>
      </c>
      <c r="C15" s="127"/>
      <c r="D15" s="127"/>
      <c r="E15" s="127"/>
      <c r="F15" s="127"/>
      <c r="G15" s="155">
        <f>VLOOKUP($H$11,'Data 3 Table'!$A$4:$HH$84,2+$A15)</f>
        <v>15.676160015984301</v>
      </c>
      <c r="H15" s="155"/>
      <c r="I15" s="11"/>
      <c r="J15" s="155">
        <f>VLOOKUP($J$11,'Data 3 Table'!$A$4:$HH$84,2+$A15)</f>
        <v>12</v>
      </c>
      <c r="K15" s="155"/>
      <c r="M15" s="80">
        <f t="shared" si="0"/>
        <v>30.634666799869176</v>
      </c>
      <c r="N15" s="134" t="str">
        <f>'Data 3 Table'!EE85</f>
        <v>Australian Bureau of Statistics, 2023 (update 2024)</v>
      </c>
      <c r="O15" s="133"/>
      <c r="P15" s="133"/>
      <c r="Q15" s="5"/>
    </row>
    <row r="16" spans="1:17" ht="23" customHeight="1">
      <c r="A16" s="10">
        <v>134</v>
      </c>
      <c r="B16" s="123" t="str">
        <f>'Data 3 Table'!EF3</f>
        <v>Average number of children born to women in their lifetime, based on current birth rates, 2022</v>
      </c>
      <c r="C16" s="123"/>
      <c r="D16" s="123"/>
      <c r="E16" s="123"/>
      <c r="F16" s="123"/>
      <c r="G16" s="124">
        <f>VLOOKUP($H$11,'Data 3 Table'!$A$4:$HH$84,2+$A16)</f>
        <v>1.3700007539165771</v>
      </c>
      <c r="H16" s="124"/>
      <c r="I16" s="11"/>
      <c r="J16" s="125">
        <f>VLOOKUP($J$11,'Data 3 Table'!$A$4:$HH$84,2+$A16)</f>
        <v>1.4256727157270994</v>
      </c>
      <c r="K16" s="125"/>
      <c r="M16" s="81">
        <f t="shared" si="0"/>
        <v>-3.9049608789159871</v>
      </c>
      <c r="N16" s="134" t="str">
        <f>'Data 3 Table'!EF85</f>
        <v>Census 2021 (update 2026)</v>
      </c>
      <c r="O16" s="133"/>
      <c r="P16" s="133"/>
    </row>
    <row r="17" spans="1:17" ht="23" customHeight="1">
      <c r="A17" s="10">
        <v>135</v>
      </c>
      <c r="B17" s="127" t="str">
        <f>'Data 3 Table'!EG3</f>
        <v>Median weekly household gross income: two-parent families, 2021</v>
      </c>
      <c r="C17" s="127"/>
      <c r="D17" s="127"/>
      <c r="E17" s="127"/>
      <c r="F17" s="127"/>
      <c r="G17" s="152">
        <f>VLOOKUP($H$11,'Data 3 Table'!$A$4:$HI$84,2+$A17)</f>
        <v>1985.7211231652841</v>
      </c>
      <c r="H17" s="152"/>
      <c r="I17" s="11"/>
      <c r="J17" s="152">
        <f>VLOOKUP($J$11,'Data 3 Table'!$A$4:$HI$84,2+$A17)</f>
        <v>3120.9514559579711</v>
      </c>
      <c r="K17" s="152"/>
      <c r="M17" s="80">
        <f t="shared" si="0"/>
        <v>-36.374495047832447</v>
      </c>
      <c r="N17" s="134" t="str">
        <f>'Data 3 Table'!EG85</f>
        <v>Census 2021 (update 2026)</v>
      </c>
      <c r="O17" s="133"/>
      <c r="P17" s="133"/>
      <c r="Q17" s="5"/>
    </row>
    <row r="18" spans="1:17" ht="23" customHeight="1">
      <c r="A18" s="10">
        <v>136</v>
      </c>
      <c r="B18" s="122" t="str">
        <f>'Data 3 Table'!EH3</f>
        <v>Median weekly household gross income: one-parent families, 2021</v>
      </c>
      <c r="C18" s="123"/>
      <c r="D18" s="123"/>
      <c r="E18" s="123"/>
      <c r="F18" s="123"/>
      <c r="G18" s="141">
        <f>VLOOKUP($H$11,'Data 3 Table'!$A$4:$HI$84,2+$A18)</f>
        <v>1134.6385542168675</v>
      </c>
      <c r="H18" s="141"/>
      <c r="I18" s="11"/>
      <c r="J18" s="142">
        <f>VLOOKUP($J$11,'Data 3 Table'!$A$4:$HI$84,2+$A18)</f>
        <v>1351.0680267896173</v>
      </c>
      <c r="K18" s="142"/>
      <c r="M18" s="81">
        <f t="shared" si="0"/>
        <v>-16.019139545994989</v>
      </c>
      <c r="N18" s="134" t="str">
        <f>'Data 3 Table'!EH85</f>
        <v>Census 2021 (update 2026)</v>
      </c>
      <c r="O18" s="133"/>
      <c r="P18" s="133"/>
    </row>
    <row r="19" spans="1:17" ht="23" customHeight="1">
      <c r="A19" s="10">
        <v>137</v>
      </c>
      <c r="B19" s="126" t="str">
        <f>'Data 3 Table'!EI3</f>
        <v>Rate of Police callouts to family incidents, per 100,000 residents, 2023/24</v>
      </c>
      <c r="C19" s="127"/>
      <c r="D19" s="127"/>
      <c r="E19" s="127"/>
      <c r="F19" s="127"/>
      <c r="G19" s="130">
        <f>VLOOKUP($H$11,'Data 3 Table'!$A$4:$HI$84,2+$A19)</f>
        <v>1618.5161668457556</v>
      </c>
      <c r="H19" s="130"/>
      <c r="I19" s="11"/>
      <c r="J19" s="130">
        <f>VLOOKUP($J$11,'Data 3 Table'!$A$4:$HI$84,2+$A19)</f>
        <v>1446.7148934309607</v>
      </c>
      <c r="K19" s="130"/>
      <c r="M19" s="80">
        <f t="shared" si="0"/>
        <v>11.875268181373254</v>
      </c>
      <c r="N19" s="134" t="str">
        <f>'Data 3 Table'!EI85</f>
        <v>Census 2021 (update 2026)</v>
      </c>
      <c r="O19" s="133"/>
      <c r="P19" s="133"/>
    </row>
    <row r="20" spans="1:17" ht="23" customHeight="1">
      <c r="A20" s="10">
        <v>138</v>
      </c>
      <c r="B20" s="136">
        <f>'Data 3 Table'!EJ3</f>
        <v>0</v>
      </c>
      <c r="C20" s="137"/>
      <c r="D20" s="137"/>
      <c r="E20" s="137"/>
      <c r="F20" s="137"/>
      <c r="G20" s="138">
        <f>VLOOKUP($H$11,'Data 3 Table'!$A$4:$HI$84,2+$A20)</f>
        <v>0</v>
      </c>
      <c r="H20" s="138"/>
      <c r="I20" s="79"/>
      <c r="J20" s="138">
        <f>VLOOKUP($J$11,'Data 3 Table'!$A$4:$HI$84,2+$A20)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139</v>
      </c>
      <c r="B21" s="136">
        <f>'Data 3 Table'!EK3</f>
        <v>0</v>
      </c>
      <c r="C21" s="137"/>
      <c r="D21" s="137"/>
      <c r="E21" s="137"/>
      <c r="F21" s="137"/>
      <c r="G21" s="138">
        <f>VLOOKUP($H$11,'Data 3 Table'!$A$4:$HI$84,2+$A21)</f>
        <v>0</v>
      </c>
      <c r="H21" s="138"/>
      <c r="I21" s="79"/>
      <c r="J21" s="138">
        <f>VLOOKUP($J$11,'Data 3 Table'!$A$4:$HI$84,2+$A21)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140</v>
      </c>
      <c r="B22" s="136">
        <f>'Data 3 Table'!EL3</f>
        <v>0</v>
      </c>
      <c r="C22" s="137"/>
      <c r="D22" s="137"/>
      <c r="E22" s="137"/>
      <c r="F22" s="137"/>
      <c r="G22" s="138">
        <f>VLOOKUP($H$11,'Data 3 Table'!$A$4:$HI$84,2+$A22)</f>
        <v>0</v>
      </c>
      <c r="H22" s="138"/>
      <c r="I22" s="79"/>
      <c r="J22" s="138">
        <f>VLOOKUP($J$11,'Data 3 Table'!$A$4:$HI$84,2+$A22)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223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IF('Older People'!$K$11=1,CONCATENATE(G12,":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IF('Older People'!K11=2,"A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141</v>
      </c>
      <c r="B13" s="127" t="str">
        <f>'Data 3 Table'!EM3</f>
        <v>Population aged 65 years or more, 2024</v>
      </c>
      <c r="C13" s="127"/>
      <c r="D13" s="127"/>
      <c r="E13" s="127"/>
      <c r="F13" s="127"/>
      <c r="G13" s="130">
        <f>VLOOKUP($H$11,'Data 3 Table'!$A$4:$HH$84,2+$A13)</f>
        <v>26049.918140080103</v>
      </c>
      <c r="H13" s="130"/>
      <c r="I13" s="11"/>
      <c r="J13" s="130">
        <f>VLOOKUP($J$11,'Data 3 Table'!$A$4:$HH$84,2+$A13)</f>
        <v>770444.93154573429</v>
      </c>
      <c r="K13" s="130"/>
      <c r="M13" s="80">
        <f t="shared" ref="M13:M22" si="0">(G13-J13)/J13*100</f>
        <v>-96.618847490135806</v>
      </c>
      <c r="N13" s="133" t="str">
        <f>'Data 3 Table'!EM85</f>
        <v>ABS 'Regional Population Growth' 2025 (update 2026)</v>
      </c>
      <c r="O13" s="133"/>
      <c r="P13" s="133"/>
      <c r="Q13" s="5"/>
    </row>
    <row r="14" spans="1:17" ht="23" customHeight="1">
      <c r="A14" s="10">
        <v>142</v>
      </c>
      <c r="B14" s="123" t="str">
        <f>'Data 3 Table'!EN3</f>
        <v>Per cent of 55-59 year olds in paid employment, 2021</v>
      </c>
      <c r="C14" s="123"/>
      <c r="D14" s="123"/>
      <c r="E14" s="123"/>
      <c r="F14" s="123"/>
      <c r="G14" s="124">
        <f>VLOOKUP($H$11,'Data 3 Table'!$A$4:$HH$84,2+$A14)</f>
        <v>63.774678500271683</v>
      </c>
      <c r="H14" s="124"/>
      <c r="I14" s="11"/>
      <c r="J14" s="125">
        <f>VLOOKUP($J$11,'Data 3 Table'!$A$4:$HH$84,2+$A14)</f>
        <v>76.527435139132109</v>
      </c>
      <c r="K14" s="125"/>
      <c r="M14" s="81">
        <f t="shared" si="0"/>
        <v>-16.664293812637315</v>
      </c>
      <c r="N14" s="134" t="str">
        <f>'Data 3 Table'!EN85</f>
        <v>Census 2021 (update 2026)</v>
      </c>
      <c r="O14" s="133"/>
      <c r="P14" s="133"/>
      <c r="Q14" s="5"/>
    </row>
    <row r="15" spans="1:17" ht="23" customHeight="1">
      <c r="A15" s="10">
        <v>143</v>
      </c>
      <c r="B15" s="127" t="str">
        <f>'Data 3 Table'!EO3</f>
        <v>Per cent of persons 65+ who are in paid employment, 2021</v>
      </c>
      <c r="C15" s="127"/>
      <c r="D15" s="127"/>
      <c r="E15" s="127"/>
      <c r="F15" s="127"/>
      <c r="G15" s="155">
        <f>VLOOKUP($H$11,'Data 3 Table'!$A$4:$HH$84,2+$A15)</f>
        <v>10.000429941098069</v>
      </c>
      <c r="H15" s="155"/>
      <c r="I15" s="11"/>
      <c r="J15" s="155">
        <f>VLOOKUP($J$11,'Data 3 Table'!$A$4:$HH$84,2+$A15)</f>
        <v>14.684078467153286</v>
      </c>
      <c r="K15" s="155"/>
      <c r="M15" s="80">
        <f t="shared" si="0"/>
        <v>-31.896101185593896</v>
      </c>
      <c r="N15" s="134" t="str">
        <f>'Data 3 Table'!EO85</f>
        <v>Census 2021 (update 2026)</v>
      </c>
      <c r="O15" s="133"/>
      <c r="P15" s="133"/>
      <c r="Q15" s="5"/>
    </row>
    <row r="16" spans="1:17" ht="23" customHeight="1">
      <c r="A16" s="10">
        <v>144</v>
      </c>
      <c r="B16" s="123" t="str">
        <f>'Data 3 Table'!EP3</f>
        <v>Aged pension recipients as a percentage of persons aged 65 or more, 2024</v>
      </c>
      <c r="C16" s="123"/>
      <c r="D16" s="123"/>
      <c r="E16" s="123"/>
      <c r="F16" s="123"/>
      <c r="G16" s="124">
        <f>VLOOKUP($H$11,'Data 3 Table'!$A$4:$HH$84,2+$A16)</f>
        <v>70.348991082666217</v>
      </c>
      <c r="H16" s="124"/>
      <c r="I16" s="11"/>
      <c r="J16" s="125">
        <f>VLOOKUP($J$11,'Data 3 Table'!$A$4:$HH$84,2+$A16)</f>
        <v>50.841657995505749</v>
      </c>
      <c r="K16" s="125"/>
      <c r="M16" s="81">
        <f t="shared" si="0"/>
        <v>38.368798061001193</v>
      </c>
      <c r="N16" s="134" t="str">
        <f>'Data 3 Table'!EP85</f>
        <v>Centrelink, 2024 (update 2025)</v>
      </c>
      <c r="O16" s="133"/>
      <c r="P16" s="133"/>
    </row>
    <row r="17" spans="1:17" ht="23" customHeight="1">
      <c r="A17" s="10">
        <v>145</v>
      </c>
      <c r="B17" s="127" t="str">
        <f>'Data 3 Table'!EQ3</f>
        <v>Per cent of persons 65+ and living in a private dwelling, who are renting their accommodation, 2021</v>
      </c>
      <c r="C17" s="127"/>
      <c r="D17" s="127"/>
      <c r="E17" s="127"/>
      <c r="F17" s="127"/>
      <c r="G17" s="155">
        <f>VLOOKUP($H$11,'Data 3 Table'!$A$4:$HI$84,2+$A17)</f>
        <v>16.30593607305936</v>
      </c>
      <c r="H17" s="155"/>
      <c r="I17" s="11"/>
      <c r="J17" s="155">
        <f>VLOOKUP($J$11,'Data 3 Table'!$A$4:$HI$84,2+$A17)</f>
        <v>11.303421113599505</v>
      </c>
      <c r="K17" s="155"/>
      <c r="M17" s="80">
        <f t="shared" si="0"/>
        <v>44.256645038564216</v>
      </c>
      <c r="N17" s="133" t="str">
        <f>'Data 3 Table'!EQ85</f>
        <v>Census 2021 (update 2026)</v>
      </c>
      <c r="O17" s="133"/>
      <c r="P17" s="133"/>
      <c r="Q17" s="5"/>
    </row>
    <row r="18" spans="1:17" ht="23" customHeight="1">
      <c r="A18" s="10">
        <v>146</v>
      </c>
      <c r="B18" s="123" t="str">
        <f>'Data 3 Table'!ER3</f>
        <v>Per cent of persons 65+ who volunteered in the previous 12 months, 2021</v>
      </c>
      <c r="C18" s="123"/>
      <c r="D18" s="123"/>
      <c r="E18" s="123"/>
      <c r="F18" s="123"/>
      <c r="G18" s="124">
        <f>VLOOKUP($H$11,'Data 3 Table'!$A$4:$HI$84,2+$A18)</f>
        <v>7.4737068040352002</v>
      </c>
      <c r="H18" s="124"/>
      <c r="I18" s="11"/>
      <c r="J18" s="125">
        <f>VLOOKUP($J$11,'Data 3 Table'!$A$4:$HI$84,2+$A18)</f>
        <v>13.731855316732478</v>
      </c>
      <c r="K18" s="125"/>
      <c r="M18" s="81">
        <f t="shared" si="0"/>
        <v>-45.573947353433205</v>
      </c>
      <c r="N18" s="134" t="str">
        <f>'Data 3 Table'!ER85</f>
        <v>Census 2021 (update 2026)</v>
      </c>
      <c r="O18" s="133"/>
      <c r="P18" s="133"/>
    </row>
    <row r="19" spans="1:17" ht="23" customHeight="1">
      <c r="A19" s="10">
        <v>147</v>
      </c>
      <c r="B19" s="127" t="str">
        <f>'Data 3 Table'!ES3</f>
        <v>Per cent of persons aged 65+, who are living with disability, 2021</v>
      </c>
      <c r="C19" s="127"/>
      <c r="D19" s="127"/>
      <c r="E19" s="127"/>
      <c r="F19" s="127"/>
      <c r="G19" s="155">
        <f>VLOOKUP($H$11,'Data 3 Table'!$A$4:$HI$84,2+$A19)</f>
        <v>29.517586660443801</v>
      </c>
      <c r="H19" s="155"/>
      <c r="I19" s="11"/>
      <c r="J19" s="155">
        <f>VLOOKUP($J$11,'Data 3 Table'!$A$4:$HI$84,2+$A19)</f>
        <v>22.114409554217634</v>
      </c>
      <c r="K19" s="155"/>
      <c r="M19" s="80">
        <f t="shared" si="0"/>
        <v>33.476711589680413</v>
      </c>
      <c r="N19" s="134" t="str">
        <f>'Data 3 Table'!ES85</f>
        <v>Census 2021 (update 2026)</v>
      </c>
      <c r="O19" s="133"/>
      <c r="P19" s="133"/>
    </row>
    <row r="20" spans="1:17" ht="23" customHeight="1">
      <c r="A20" s="10">
        <v>148</v>
      </c>
      <c r="B20" s="123" t="str">
        <f>'Data 3 Table'!ET3</f>
        <v>Median weekly individual gross income, 55-59 year-olds, 2021</v>
      </c>
      <c r="C20" s="123"/>
      <c r="D20" s="123"/>
      <c r="E20" s="123"/>
      <c r="F20" s="123"/>
      <c r="G20" s="141">
        <f>VLOOKUP($H$11,'Data 3 Table'!$A$4:$HI$84,2+$A20)</f>
        <v>707.39389920424401</v>
      </c>
      <c r="H20" s="141"/>
      <c r="I20" s="11"/>
      <c r="J20" s="142">
        <f>VLOOKUP($J$11,'Data 3 Table'!$A$4:$HI$84,2+$A20)</f>
        <v>1149.466672721268</v>
      </c>
      <c r="K20" s="142"/>
      <c r="M20" s="81">
        <f t="shared" si="0"/>
        <v>-38.458946571321896</v>
      </c>
      <c r="N20" s="133" t="str">
        <f>'Data 3 Table'!ET85</f>
        <v>Census 2021 (update 2026)</v>
      </c>
      <c r="O20" s="133"/>
      <c r="P20" s="133"/>
    </row>
    <row r="21" spans="1:17" ht="23" customHeight="1">
      <c r="A21" s="10">
        <v>149</v>
      </c>
      <c r="B21" s="136">
        <f>'Data 3 Table'!EU3</f>
        <v>0</v>
      </c>
      <c r="C21" s="137"/>
      <c r="D21" s="137"/>
      <c r="E21" s="137"/>
      <c r="F21" s="137"/>
      <c r="G21" s="138">
        <f>VLOOKUP($H$11,'Data 3 Table'!$A$4:$HI$84,2+$A21)</f>
        <v>0</v>
      </c>
      <c r="H21" s="138"/>
      <c r="I21" s="79"/>
      <c r="J21" s="138">
        <f>VLOOKUP($J$11,'Data 3 Table'!$A$4:$HI$84,2+$A21)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150</v>
      </c>
      <c r="B22" s="136">
        <f>'Data 3 Table'!EV3</f>
        <v>0</v>
      </c>
      <c r="C22" s="137"/>
      <c r="D22" s="137"/>
      <c r="E22" s="137"/>
      <c r="F22" s="137"/>
      <c r="G22" s="138">
        <f>VLOOKUP($H$11,'Data 3 Table'!$A$4:$HI$84,2+$A22)</f>
        <v>0</v>
      </c>
      <c r="H22" s="138"/>
      <c r="I22" s="79"/>
      <c r="J22" s="138">
        <f>VLOOKUP($J$11,'Data 3 Table'!$A$4:$HI$84,2+$A22)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IF(Gender!$K$11=1,CONCATENATE(G12,":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IF(Gender!K11=2,"A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151</v>
      </c>
      <c r="B13" s="127" t="str">
        <f>'Data 3 Table'!EW3</f>
        <v>Proportion of men aged 20-24 who had left school before completing year 11: per cent higher or lower than women</v>
      </c>
      <c r="C13" s="127"/>
      <c r="D13" s="127"/>
      <c r="E13" s="127"/>
      <c r="F13" s="127"/>
      <c r="G13" s="128">
        <f>VLOOKUP($H$11,'Data 3 Table'!$A$4:$HH$84,2+$A13)</f>
        <v>24.768182800012344</v>
      </c>
      <c r="H13" s="128"/>
      <c r="I13" s="11"/>
      <c r="J13" s="128">
        <f>VLOOKUP($J$11,'Data 3 Table'!$A$4:$HH$84,2+$A13)</f>
        <v>66.5</v>
      </c>
      <c r="K13" s="128"/>
      <c r="M13" s="80">
        <f t="shared" ref="M13:M22" si="0">(G13-J13)/J13*100</f>
        <v>-62.754612330808513</v>
      </c>
      <c r="N13" s="133" t="str">
        <f>'Data 3 Table'!EW85</f>
        <v>Census 2021 (update 2026)</v>
      </c>
      <c r="O13" s="133"/>
      <c r="P13" s="133"/>
      <c r="Q13" s="5"/>
    </row>
    <row r="14" spans="1:17" ht="23" customHeight="1">
      <c r="A14" s="10">
        <v>152</v>
      </c>
      <c r="B14" s="123" t="str">
        <f>'Data 3 Table'!EX3</f>
        <v>Proportion of women aged 25-44 who hold a university degree: per cent higher or lower than men</v>
      </c>
      <c r="C14" s="123"/>
      <c r="D14" s="123"/>
      <c r="E14" s="123"/>
      <c r="F14" s="123"/>
      <c r="G14" s="124">
        <f>VLOOKUP($H$11,'Data 3 Table'!$A$4:$HH$84,2+$A14)</f>
        <v>18.494389962122778</v>
      </c>
      <c r="H14" s="124"/>
      <c r="I14" s="11"/>
      <c r="J14" s="125">
        <f>VLOOKUP($J$11,'Data 3 Table'!$A$4:$HH$84,2+$A14)</f>
        <v>20.100000000000001</v>
      </c>
      <c r="K14" s="125"/>
      <c r="M14" s="81">
        <f t="shared" si="0"/>
        <v>-7.9881096411802162</v>
      </c>
      <c r="N14" s="134" t="str">
        <f>'Data 3 Table'!EX85</f>
        <v>Census 2021 (update 2026)</v>
      </c>
      <c r="O14" s="133"/>
      <c r="P14" s="133"/>
      <c r="Q14" s="5"/>
    </row>
    <row r="15" spans="1:17" ht="23" customHeight="1">
      <c r="A15" s="10">
        <v>153</v>
      </c>
      <c r="B15" s="127" t="str">
        <f>'Data 3 Table'!EY3</f>
        <v>Proportion of men aged 15+ who are in paid employment: per cent higher or lower than women</v>
      </c>
      <c r="C15" s="127"/>
      <c r="D15" s="127"/>
      <c r="E15" s="127"/>
      <c r="F15" s="127"/>
      <c r="G15" s="128">
        <f>VLOOKUP($H$11,'Data 3 Table'!$A$4:$HH$84,2+$A15)</f>
        <v>25.809366215567518</v>
      </c>
      <c r="H15" s="128"/>
      <c r="I15" s="11"/>
      <c r="J15" s="128">
        <f>VLOOKUP($J$11,'Data 3 Table'!$A$4:$HH$84,2+$A15)</f>
        <v>14.4</v>
      </c>
      <c r="K15" s="128"/>
      <c r="M15" s="80">
        <f t="shared" si="0"/>
        <v>79.23170983032999</v>
      </c>
      <c r="N15" s="134" t="str">
        <f>'Data 3 Table'!EY85</f>
        <v>Census 2021 (update 2026)</v>
      </c>
      <c r="O15" s="133"/>
      <c r="P15" s="133"/>
      <c r="Q15" s="5"/>
    </row>
    <row r="16" spans="1:17" ht="23" customHeight="1">
      <c r="A16" s="10">
        <v>154</v>
      </c>
      <c r="B16" s="123" t="str">
        <f>'Data 3 Table'!EZ3</f>
        <v>Proportion of employed women working as managers or professionals: per cent higher or lower than males</v>
      </c>
      <c r="C16" s="123"/>
      <c r="D16" s="123"/>
      <c r="E16" s="123"/>
      <c r="F16" s="123"/>
      <c r="G16" s="124">
        <f>VLOOKUP($H$11,'Data 3 Table'!$A$4:$HH$84,2+$A16)</f>
        <v>14.561579461609739</v>
      </c>
      <c r="H16" s="124"/>
      <c r="I16" s="11"/>
      <c r="J16" s="125">
        <f>VLOOKUP($J$11,'Data 3 Table'!$A$4:$HH$84,2+$A16)</f>
        <v>4.8499999999999996</v>
      </c>
      <c r="K16" s="125"/>
      <c r="M16" s="81">
        <f t="shared" si="0"/>
        <v>200.23875178576782</v>
      </c>
      <c r="N16" s="134" t="str">
        <f>'Data 3 Table'!EZ85</f>
        <v>Census 2021 (update 2026)</v>
      </c>
      <c r="O16" s="133"/>
      <c r="P16" s="133"/>
    </row>
    <row r="17" spans="1:17" ht="23" customHeight="1">
      <c r="A17" s="10">
        <v>155</v>
      </c>
      <c r="B17" s="127" t="str">
        <f>'Data 3 Table'!FA3</f>
        <v>Average incomes among males aged 15-64: per cent higher or lower than female incomes, 2021</v>
      </c>
      <c r="C17" s="127"/>
      <c r="D17" s="127"/>
      <c r="E17" s="127"/>
      <c r="F17" s="127"/>
      <c r="G17" s="128">
        <f>VLOOKUP($H$11,'Data 3 Table'!$A$4:$HI$84,2+$A17)</f>
        <v>55.737016030214981</v>
      </c>
      <c r="H17" s="128"/>
      <c r="I17" s="11"/>
      <c r="J17" s="128">
        <f>VLOOKUP($J$11,'Data 3 Table'!$A$4:$HI$84,2+$A17)</f>
        <v>40.07</v>
      </c>
      <c r="K17" s="128"/>
      <c r="M17" s="80">
        <f t="shared" si="0"/>
        <v>39.099116621449916</v>
      </c>
      <c r="N17" s="134" t="str">
        <f>'Data 3 Table'!FA85</f>
        <v>Census 2021 (update 2026)</v>
      </c>
      <c r="O17" s="133"/>
      <c r="P17" s="133"/>
      <c r="Q17" s="5"/>
    </row>
    <row r="18" spans="1:17" ht="23" customHeight="1">
      <c r="A18" s="10">
        <v>156</v>
      </c>
      <c r="B18" s="122" t="str">
        <f>'Data 3 Table'!FB3</f>
        <v>Average hourly income among employed males  aged 15-64: per cent higher or lower than female hourly income, 2021</v>
      </c>
      <c r="C18" s="123"/>
      <c r="D18" s="123"/>
      <c r="E18" s="123"/>
      <c r="F18" s="123"/>
      <c r="G18" s="124">
        <f>VLOOKUP($H$11,'Data 3 Table'!$A$4:$HI$84,2+$A18)</f>
        <v>4.7254139563873165</v>
      </c>
      <c r="H18" s="124"/>
      <c r="I18" s="11"/>
      <c r="J18" s="125">
        <f>VLOOKUP($J$11,'Data 3 Table'!$A$4:$HI$84,2+$A18)</f>
        <v>5</v>
      </c>
      <c r="K18" s="125"/>
      <c r="M18" s="81">
        <f t="shared" si="0"/>
        <v>-5.4917208722536692</v>
      </c>
      <c r="N18" s="134" t="str">
        <f>'Data 3 Table'!FB85</f>
        <v>Census 2021 (update 2026)</v>
      </c>
      <c r="O18" s="133"/>
      <c r="P18" s="133"/>
    </row>
    <row r="19" spans="1:17" ht="23" customHeight="1">
      <c r="A19" s="10">
        <v>157</v>
      </c>
      <c r="B19" s="126" t="str">
        <f>'Data 3 Table'!FC3</f>
        <v>Female  average hours worked at home: per cent higher or lower than males, 2021</v>
      </c>
      <c r="C19" s="127"/>
      <c r="D19" s="127"/>
      <c r="E19" s="127"/>
      <c r="F19" s="127"/>
      <c r="G19" s="128">
        <f>VLOOKUP($H$11,'Data 3 Table'!$A$4:$HI$84,2+$A19)</f>
        <v>101.12055308148872</v>
      </c>
      <c r="H19" s="128"/>
      <c r="I19" s="11"/>
      <c r="J19" s="128">
        <f>VLOOKUP($J$11,'Data 3 Table'!$A$4:$HI$84,2+$A19)</f>
        <v>79</v>
      </c>
      <c r="K19" s="128"/>
      <c r="M19" s="80">
        <f t="shared" si="0"/>
        <v>28.000700103150283</v>
      </c>
      <c r="N19" s="134" t="str">
        <f>'Data 3 Table'!FC85</f>
        <v>Census 2021 (update 2026)</v>
      </c>
      <c r="O19" s="133"/>
      <c r="P19" s="133"/>
    </row>
    <row r="20" spans="1:17" ht="23" customHeight="1">
      <c r="A20" s="10">
        <v>158</v>
      </c>
      <c r="B20" s="122" t="str">
        <f>'Data 3 Table'!FD3</f>
        <v>Proportion of women who provide unpaid care each week for a person with a disability: per cent higher or lower than men, 2021</v>
      </c>
      <c r="C20" s="123"/>
      <c r="D20" s="123"/>
      <c r="E20" s="123"/>
      <c r="F20" s="123"/>
      <c r="G20" s="124">
        <f>VLOOKUP($H$11,'Data 3 Table'!$A$4:$HI$84,2+$A20)</f>
        <v>41.5620960661117</v>
      </c>
      <c r="H20" s="124"/>
      <c r="I20" s="11"/>
      <c r="J20" s="125">
        <f>VLOOKUP($J$11,'Data 3 Table'!$A$4:$HI$84,2+$A20)</f>
        <v>41.4</v>
      </c>
      <c r="K20" s="125"/>
      <c r="M20" s="81">
        <f t="shared" si="0"/>
        <v>0.39153639157415709</v>
      </c>
      <c r="N20" s="134" t="str">
        <f>'Data 3 Table'!FD85</f>
        <v>Census 2021 (update 2026)</v>
      </c>
      <c r="O20" s="133"/>
      <c r="P20" s="133"/>
    </row>
    <row r="21" spans="1:17" ht="23" customHeight="1">
      <c r="A21" s="10">
        <v>159</v>
      </c>
      <c r="B21" s="126" t="str">
        <f>'Data 3 Table'!FE3</f>
        <v>Per cent of sole parents who are female, 2021</v>
      </c>
      <c r="C21" s="127"/>
      <c r="D21" s="127"/>
      <c r="E21" s="127"/>
      <c r="F21" s="127"/>
      <c r="G21" s="128">
        <f>VLOOKUP($H$11,'Data 3 Table'!$A$4:$HI$84,2+$A21)</f>
        <v>83.044164037854898</v>
      </c>
      <c r="H21" s="128"/>
      <c r="I21" s="11"/>
      <c r="J21" s="128">
        <f>VLOOKUP($J$11,'Data 3 Table'!$A$4:$HI$84,2+$A21)</f>
        <v>81.2</v>
      </c>
      <c r="K21" s="128"/>
      <c r="M21" s="80">
        <f t="shared" si="0"/>
        <v>2.2711379776538121</v>
      </c>
      <c r="N21" s="134" t="str">
        <f>'Data 3 Table'!FE85</f>
        <v>Census 2021 (update 2026)</v>
      </c>
      <c r="O21" s="133"/>
      <c r="P21" s="133"/>
    </row>
    <row r="22" spans="1:17" ht="23" customHeight="1">
      <c r="A22" s="10">
        <v>160</v>
      </c>
      <c r="B22" s="122" t="str">
        <f>'Data 3 Table'!FF3</f>
        <v>Rate of Family related violent offences, per 100,000 women, female victims, 2023/24</v>
      </c>
      <c r="C22" s="123"/>
      <c r="D22" s="123"/>
      <c r="E22" s="123"/>
      <c r="F22" s="123"/>
      <c r="G22" s="147">
        <f>VLOOKUP($H$11,'Data 3 Table'!$A$4:$HI$84,2+$A22)</f>
        <v>954.86959070040041</v>
      </c>
      <c r="H22" s="147"/>
      <c r="I22" s="11"/>
      <c r="J22" s="148">
        <f>VLOOKUP($J$11,'Data 3 Table'!$A$4:$HI$84,2+$A22)</f>
        <v>568.09922429769085</v>
      </c>
      <c r="K22" s="148"/>
      <c r="M22" s="81">
        <f t="shared" si="0"/>
        <v>68.081481167458378</v>
      </c>
      <c r="N22" s="134" t="str">
        <f>'Data 3 Table'!FF85</f>
        <v>Crime Statistics Agency, 2024 (update 2025)</v>
      </c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7">
      <c r="C8" s="3"/>
      <c r="G8" s="8"/>
      <c r="H8" s="8"/>
      <c r="I8" s="8"/>
      <c r="K8" s="8"/>
      <c r="L8" s="8"/>
      <c r="M8" s="131" t="str">
        <f>IF(Transport!$K$11=1,CONCATENATE(G12,":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IF(Transport!K11=2,"A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161</v>
      </c>
      <c r="B13" s="127" t="str">
        <f>'Data 3 Table'!FG3</f>
        <v>Per cent of couple families with children under 15 that own fewer than two cars, 2021</v>
      </c>
      <c r="C13" s="127"/>
      <c r="D13" s="127"/>
      <c r="E13" s="127"/>
      <c r="F13" s="127"/>
      <c r="G13" s="128">
        <f>VLOOKUP($H$11,'Data 3 Table'!$A$4:$HH$84,2+$A13)</f>
        <v>22.73502884537255</v>
      </c>
      <c r="H13" s="128"/>
      <c r="I13" s="11"/>
      <c r="J13" s="128">
        <f>VLOOKUP($J$11,'Data 3 Table'!$A$4:$HH$84,2+$A13)</f>
        <v>24.19652222607105</v>
      </c>
      <c r="K13" s="128"/>
      <c r="M13" s="80">
        <f t="shared" ref="M13:M22" si="0">(G13-J13)/J13*100</f>
        <v>-6.0400968661677448</v>
      </c>
      <c r="N13" s="133" t="str">
        <f>'Data 3 Table'!FG85</f>
        <v>Census 2021 (update 2026)</v>
      </c>
      <c r="O13" s="133"/>
      <c r="P13" s="133"/>
      <c r="Q13" s="5"/>
    </row>
    <row r="14" spans="1:17" ht="23" customHeight="1">
      <c r="A14" s="10">
        <v>162</v>
      </c>
      <c r="B14" s="123" t="str">
        <f>'Data 3 Table'!FH3</f>
        <v>Per cent of one parent families with children under 15 that have no car, 2021</v>
      </c>
      <c r="C14" s="123"/>
      <c r="D14" s="123"/>
      <c r="E14" s="123"/>
      <c r="F14" s="123"/>
      <c r="G14" s="124">
        <f>VLOOKUP($H$11,'Data 3 Table'!$A$4:$HH$84,2+$A14)</f>
        <v>7.1575342465753424</v>
      </c>
      <c r="H14" s="124"/>
      <c r="I14" s="11"/>
      <c r="J14" s="125">
        <f>VLOOKUP($J$11,'Data 3 Table'!$A$4:$HH$84,2+$A14)</f>
        <v>6.8072742282215657</v>
      </c>
      <c r="K14" s="125"/>
      <c r="M14" s="81">
        <f t="shared" si="0"/>
        <v>5.1453784086098722</v>
      </c>
      <c r="N14" s="134" t="str">
        <f>'Data 3 Table'!FH85</f>
        <v>Census 2021 (update 2026)</v>
      </c>
      <c r="O14" s="133"/>
      <c r="P14" s="133"/>
      <c r="Q14" s="5"/>
    </row>
    <row r="15" spans="1:17" ht="23" customHeight="1">
      <c r="A15" s="10">
        <v>163</v>
      </c>
      <c r="B15" s="127" t="str">
        <f>'Data 3 Table'!FI3</f>
        <v>Per cent of Persons travelling to work, who Used Active or Public Transport, 2021</v>
      </c>
      <c r="C15" s="127"/>
      <c r="D15" s="127"/>
      <c r="E15" s="127"/>
      <c r="F15" s="127"/>
      <c r="G15" s="128">
        <f>VLOOKUP($H$11,'Data 3 Table'!$A$4:$HH$84,2+$A15)</f>
        <v>7.915637978220512</v>
      </c>
      <c r="H15" s="128"/>
      <c r="I15" s="11"/>
      <c r="J15" s="128">
        <f>VLOOKUP($J$11,'Data 3 Table'!$A$4:$HH$84,2+$A15)</f>
        <v>5.8</v>
      </c>
      <c r="K15" s="128"/>
      <c r="M15" s="80">
        <f t="shared" si="0"/>
        <v>36.476516865870899</v>
      </c>
      <c r="N15" s="134" t="str">
        <f>'Data 3 Table'!FI85</f>
        <v>Census 2021 (update 2026)</v>
      </c>
      <c r="O15" s="133"/>
      <c r="P15" s="133"/>
      <c r="Q15" s="5"/>
    </row>
    <row r="16" spans="1:17" ht="23" customHeight="1">
      <c r="A16" s="10">
        <v>164</v>
      </c>
      <c r="B16" s="123" t="str">
        <f>'Data 3 Table'!FJ3</f>
        <v>Per cent of Persons travelling to work, who walked only, 2021</v>
      </c>
      <c r="C16" s="123"/>
      <c r="D16" s="123"/>
      <c r="E16" s="123"/>
      <c r="F16" s="123"/>
      <c r="G16" s="124">
        <f>VLOOKUP($H$11,'Data 3 Table'!$A$4:$HH$84,2+$A16)</f>
        <v>1.3333078276838319</v>
      </c>
      <c r="H16" s="124"/>
      <c r="I16" s="11"/>
      <c r="J16" s="125">
        <f>VLOOKUP($J$11,'Data 3 Table'!$A$4:$HH$84,2+$A16)</f>
        <v>3.34</v>
      </c>
      <c r="K16" s="125"/>
      <c r="M16" s="81">
        <f t="shared" si="0"/>
        <v>-60.080603961561906</v>
      </c>
      <c r="N16" s="134" t="str">
        <f>'Data 3 Table'!FJ85</f>
        <v>Census 2021 (update 2026)</v>
      </c>
      <c r="O16" s="133"/>
      <c r="P16" s="133"/>
    </row>
    <row r="17" spans="1:17" ht="23" customHeight="1">
      <c r="A17" s="10">
        <v>165</v>
      </c>
      <c r="B17" s="127" t="str">
        <f>'Data 3 Table'!FK3</f>
        <v>Per cent of Persons travelling to work, who drove by car, 2021</v>
      </c>
      <c r="C17" s="127"/>
      <c r="D17" s="127"/>
      <c r="E17" s="127"/>
      <c r="F17" s="127"/>
      <c r="G17" s="128">
        <f>VLOOKUP($H$11,'Data 3 Table'!$A$4:$HI$84,2+$A17)</f>
        <v>80.467135970617491</v>
      </c>
      <c r="H17" s="128"/>
      <c r="I17" s="11"/>
      <c r="J17" s="128">
        <f>VLOOKUP($J$11,'Data 3 Table'!$A$4:$HI$84,2+$A17)</f>
        <v>73.400000000000006</v>
      </c>
      <c r="K17" s="128"/>
      <c r="M17" s="80">
        <f t="shared" si="0"/>
        <v>9.6282506411682363</v>
      </c>
      <c r="N17" s="134" t="str">
        <f>'Data 3 Table'!FK85</f>
        <v>Census 2021 (update 2026)</v>
      </c>
      <c r="O17" s="133"/>
      <c r="P17" s="133"/>
      <c r="Q17" s="5"/>
    </row>
    <row r="18" spans="1:17" ht="23" customHeight="1">
      <c r="A18" s="10">
        <v>166</v>
      </c>
      <c r="B18" s="136">
        <f>'Data 3 Table'!FL3</f>
        <v>0</v>
      </c>
      <c r="C18" s="137"/>
      <c r="D18" s="137"/>
      <c r="E18" s="137"/>
      <c r="F18" s="137"/>
      <c r="G18" s="138">
        <f>VLOOKUP($H$11,'Data 3 Table'!$A$4:$HI$84,2+$A18)</f>
        <v>0</v>
      </c>
      <c r="H18" s="138"/>
      <c r="I18" s="79"/>
      <c r="J18" s="138">
        <f>VLOOKUP($J$11,'Data 3 Table'!$A$4:$HI$84,2+$A18)</f>
        <v>0</v>
      </c>
      <c r="K18" s="138"/>
      <c r="M18" s="27" t="e">
        <f t="shared" si="0"/>
        <v>#DIV/0!</v>
      </c>
      <c r="N18" s="133"/>
      <c r="O18" s="133"/>
      <c r="P18" s="133"/>
    </row>
    <row r="19" spans="1:17" ht="23" customHeight="1">
      <c r="A19" s="10">
        <v>167</v>
      </c>
      <c r="B19" s="136">
        <f>'Data 3 Table'!FM3</f>
        <v>0</v>
      </c>
      <c r="C19" s="137"/>
      <c r="D19" s="137"/>
      <c r="E19" s="137"/>
      <c r="F19" s="137"/>
      <c r="G19" s="138">
        <f>VLOOKUP($H$11,'Data 3 Table'!$A$4:$HI$84,2+$A19)</f>
        <v>0</v>
      </c>
      <c r="H19" s="138"/>
      <c r="I19" s="79"/>
      <c r="J19" s="138">
        <f>VLOOKUP($J$11,'Data 3 Table'!$A$4:$HI$84,2+$A19)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168</v>
      </c>
      <c r="B20" s="136">
        <f>'Data 3 Table'!FN3</f>
        <v>0</v>
      </c>
      <c r="C20" s="137"/>
      <c r="D20" s="137"/>
      <c r="E20" s="137"/>
      <c r="F20" s="137"/>
      <c r="G20" s="138">
        <f>VLOOKUP($H$11,'Data 3 Table'!$A$4:$HI$84,2+$A20)</f>
        <v>0</v>
      </c>
      <c r="H20" s="138"/>
      <c r="I20" s="79"/>
      <c r="J20" s="138">
        <f>VLOOKUP($J$11,'Data 3 Table'!$A$4:$HI$84,2+$A20)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169</v>
      </c>
      <c r="B21" s="136">
        <f>'Data 3 Table'!FO5</f>
        <v>0</v>
      </c>
      <c r="C21" s="137"/>
      <c r="D21" s="137"/>
      <c r="E21" s="137"/>
      <c r="F21" s="137"/>
      <c r="G21" s="138">
        <f>VLOOKUP($H$11,'Data 3 Table'!$A$4:$HI$84,2+$A21)</f>
        <v>0</v>
      </c>
      <c r="H21" s="138"/>
      <c r="I21" s="79"/>
      <c r="J21" s="138">
        <f>VLOOKUP($J$11,'Data 3 Table'!$A$4:$HI$84,2+$A21)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170</v>
      </c>
      <c r="B22" s="136">
        <f>'Data 3 Table'!FP5</f>
        <v>0</v>
      </c>
      <c r="C22" s="137"/>
      <c r="D22" s="137"/>
      <c r="E22" s="137"/>
      <c r="F22" s="137"/>
      <c r="G22" s="138">
        <f>VLOOKUP($H$11,'Data 3 Table'!$A$4:$HI$84,2+$A22)</f>
        <v>0</v>
      </c>
      <c r="H22" s="138"/>
      <c r="I22" s="79"/>
      <c r="J22" s="138">
        <f>VLOOKUP($J$11,'Data 3 Table'!$A$4:$HI$84,2+$A22)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1" t="s">
        <v>52</v>
      </c>
      <c r="C7" s="121"/>
      <c r="D7" s="121"/>
      <c r="E7" s="121"/>
      <c r="F7" s="121"/>
      <c r="G7" s="121"/>
      <c r="H7" s="121"/>
      <c r="I7" s="121"/>
      <c r="J7" s="121"/>
      <c r="K7" s="121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1" t="str">
        <f>IF(Spare!$K$11=1,CONCATENATE(G12,":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IF(Spare!K11=2,"A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56"/>
      <c r="P12" s="156"/>
      <c r="Q12" s="156"/>
    </row>
    <row r="13" spans="1:17" ht="23" customHeight="1">
      <c r="A13" s="10">
        <v>1</v>
      </c>
      <c r="B13" s="127" t="str">
        <f>'Data 3 Table'!Y3</f>
        <v>Per cent of residents who speak languages other than English at home, 2021</v>
      </c>
      <c r="C13" s="127"/>
      <c r="D13" s="127"/>
      <c r="E13" s="127"/>
      <c r="F13" s="127"/>
      <c r="G13" s="128">
        <f>VLOOKUP($H$11,'Data 3 Table'!$A$4:$HH$84,2+$A13)</f>
        <v>167298</v>
      </c>
      <c r="H13" s="128"/>
      <c r="I13" s="11"/>
      <c r="J13" s="128">
        <f>VLOOKUP($J$11,'Data 3 Table'!$A$4:$HH$84,2+$A13)</f>
        <v>5256451</v>
      </c>
      <c r="K13" s="128"/>
      <c r="M13" s="26">
        <f t="shared" ref="M13:M22" si="0">(G13-J13)/J13*100</f>
        <v>-96.817282230919687</v>
      </c>
      <c r="N13" s="139" t="s">
        <v>211</v>
      </c>
      <c r="O13" s="139"/>
      <c r="P13" s="139"/>
      <c r="Q13" s="5"/>
    </row>
    <row r="14" spans="1:17" ht="23" customHeight="1">
      <c r="A14" s="10">
        <v>2</v>
      </c>
      <c r="B14" s="123" t="str">
        <f>'Data 3 Table'!D3</f>
        <v>Civic trust - do you feel valued by society?: 'No' or 'not often' 2023</v>
      </c>
      <c r="C14" s="123"/>
      <c r="D14" s="123"/>
      <c r="E14" s="123"/>
      <c r="F14" s="123"/>
      <c r="G14" s="124">
        <f>VLOOKUP($H$11,'Data 3 Table'!$A$4:$HH$84,2+$A14)</f>
        <v>17.55283</v>
      </c>
      <c r="H14" s="124"/>
      <c r="I14" s="11"/>
      <c r="J14" s="125">
        <f>VLOOKUP($J$11,'Data 3 Table'!$A$4:$HH$84,2+$A14)</f>
        <v>14.437476033333335</v>
      </c>
      <c r="K14" s="125"/>
      <c r="M14" s="27">
        <f t="shared" si="0"/>
        <v>21.578245113438921</v>
      </c>
      <c r="N14" s="139"/>
      <c r="O14" s="139"/>
      <c r="P14" s="139"/>
      <c r="Q14" s="5"/>
    </row>
    <row r="15" spans="1:17" ht="23" customHeight="1">
      <c r="A15" s="10">
        <v>3</v>
      </c>
      <c r="B15" s="127" t="str">
        <f>'Data 3 Table'!J3</f>
        <v>Per cent of residents who engaged in voluntary work in the previous 12 months, 2021</v>
      </c>
      <c r="C15" s="127"/>
      <c r="D15" s="127"/>
      <c r="E15" s="127"/>
      <c r="F15" s="127"/>
      <c r="G15" s="128">
        <f>VLOOKUP($H$11,'Data 3 Table'!$A$4:$HH$84,2+$A15)</f>
        <v>22.229109999999999</v>
      </c>
      <c r="H15" s="128"/>
      <c r="I15" s="11"/>
      <c r="J15" s="128">
        <f>VLOOKUP($J$11,'Data 3 Table'!$A$4:$HH$84,2+$A15)</f>
        <v>13.612406290322577</v>
      </c>
      <c r="K15" s="128"/>
      <c r="M15" s="26">
        <f t="shared" si="0"/>
        <v>63.300371190090523</v>
      </c>
      <c r="N15" s="139"/>
      <c r="O15" s="139"/>
      <c r="P15" s="139"/>
      <c r="Q15" s="5"/>
    </row>
    <row r="16" spans="1:17" ht="23" customHeight="1">
      <c r="A16" s="10">
        <v>4</v>
      </c>
      <c r="B16" s="123" t="str">
        <f>'Data 3 Table'!E3</f>
        <v>Per cent of residents who feel that most people could be trusted, 'never' or 'not often', 2020</v>
      </c>
      <c r="C16" s="123"/>
      <c r="D16" s="123"/>
      <c r="E16" s="123"/>
      <c r="F16" s="123"/>
      <c r="G16" s="157">
        <f>VLOOKUP($H$11,'Data 3 Table'!$A$4:$HH$84,2+$A16)</f>
        <v>16.646132000000001</v>
      </c>
      <c r="H16" s="157"/>
      <c r="I16" s="11"/>
      <c r="J16" s="125">
        <f>VLOOKUP($J$11,'Data 3 Table'!$A$4:$HH$84,2+$A16)</f>
        <v>18.302908351612906</v>
      </c>
      <c r="K16" s="125"/>
      <c r="M16" s="27">
        <f t="shared" si="0"/>
        <v>-9.0519840879108422</v>
      </c>
      <c r="N16" s="139"/>
      <c r="O16" s="139"/>
      <c r="P16" s="139"/>
    </row>
    <row r="17" spans="1:17" ht="23" customHeight="1">
      <c r="A17" s="10">
        <v>100</v>
      </c>
      <c r="B17" s="127">
        <f>'Data 3 Table'!HI3</f>
        <v>0</v>
      </c>
      <c r="C17" s="127"/>
      <c r="D17" s="127"/>
      <c r="E17" s="127"/>
      <c r="F17" s="127"/>
      <c r="G17" s="128">
        <f>VLOOKUP($H$11,'Data 3 Table'!$A$4:$HI$84,2+$A17)</f>
        <v>0</v>
      </c>
      <c r="H17" s="128"/>
      <c r="I17" s="11"/>
      <c r="J17" s="128">
        <f>VLOOKUP($J$11,'Data 3 Table'!$A$4:$HI$84,2+$A17)</f>
        <v>0</v>
      </c>
      <c r="K17" s="128"/>
      <c r="M17" s="26" t="e">
        <f t="shared" si="0"/>
        <v>#DIV/0!</v>
      </c>
      <c r="N17" s="139"/>
      <c r="O17" s="139"/>
      <c r="P17" s="139"/>
      <c r="Q17" s="5"/>
    </row>
    <row r="18" spans="1:17" ht="23" customHeight="1">
      <c r="A18" s="10">
        <v>88</v>
      </c>
      <c r="B18" s="122">
        <f>'Data 3 Table'!GW3</f>
        <v>0</v>
      </c>
      <c r="C18" s="123"/>
      <c r="D18" s="123"/>
      <c r="E18" s="123"/>
      <c r="F18" s="123"/>
      <c r="G18" s="124">
        <f>VLOOKUP($H$11,'Data 3 Table'!$A$4:$HI$84,2+$A18)</f>
        <v>0</v>
      </c>
      <c r="H18" s="124"/>
      <c r="I18" s="11"/>
      <c r="J18" s="125">
        <f>VLOOKUP($J$11,'Data 3 Table'!$A$4:$HI$84,2+$A18)</f>
        <v>0</v>
      </c>
      <c r="K18" s="125"/>
      <c r="M18" s="27" t="e">
        <f t="shared" si="0"/>
        <v>#DIV/0!</v>
      </c>
      <c r="N18" s="139"/>
      <c r="O18" s="139"/>
      <c r="P18" s="139"/>
    </row>
    <row r="19" spans="1:17" ht="23" customHeight="1">
      <c r="A19" s="10">
        <v>89</v>
      </c>
      <c r="B19" s="126">
        <f>'Data 3 Table'!GX3</f>
        <v>0</v>
      </c>
      <c r="C19" s="127"/>
      <c r="D19" s="127"/>
      <c r="E19" s="127"/>
      <c r="F19" s="127"/>
      <c r="G19" s="128">
        <f>VLOOKUP($H$11,'Data 3 Table'!$A$4:$HI$84,2+$A19)</f>
        <v>0</v>
      </c>
      <c r="H19" s="128"/>
      <c r="I19" s="11"/>
      <c r="J19" s="128">
        <f>VLOOKUP($J$11,'Data 3 Table'!$A$4:$HI$84,2+$A19)</f>
        <v>0</v>
      </c>
      <c r="K19" s="128"/>
      <c r="M19" s="26" t="e">
        <f t="shared" si="0"/>
        <v>#DIV/0!</v>
      </c>
      <c r="N19" s="139"/>
      <c r="O19" s="139"/>
      <c r="P19" s="139"/>
    </row>
    <row r="20" spans="1:17" ht="23" customHeight="1">
      <c r="A20" s="10">
        <v>75</v>
      </c>
      <c r="B20" s="122" t="str">
        <f>'Data 3 Table'!DA3</f>
        <v>Violent offence rate, per 100,000 pop., 2024/25</v>
      </c>
      <c r="C20" s="123"/>
      <c r="D20" s="123"/>
      <c r="E20" s="123"/>
      <c r="F20" s="123"/>
      <c r="G20" s="124">
        <f>VLOOKUP($H$11,'Data 3 Table'!$A$4:$HI$84,2+$A20)</f>
        <v>2.0545409674234945</v>
      </c>
      <c r="H20" s="124"/>
      <c r="I20" s="11"/>
      <c r="J20" s="125">
        <f>VLOOKUP($J$11,'Data 3 Table'!$A$4:$HI$84,2+$A20)</f>
        <v>2.4924609831731992</v>
      </c>
      <c r="K20" s="125"/>
      <c r="M20" s="27">
        <f t="shared" si="0"/>
        <v>-17.569784189447191</v>
      </c>
      <c r="N20" s="139"/>
      <c r="O20" s="139"/>
      <c r="P20" s="139"/>
    </row>
    <row r="21" spans="1:17" ht="23" customHeight="1">
      <c r="B21" s="126"/>
      <c r="C21" s="127"/>
      <c r="D21" s="127"/>
      <c r="E21" s="127"/>
      <c r="F21" s="127"/>
      <c r="G21" s="73"/>
      <c r="H21" s="73"/>
      <c r="J21" s="128"/>
      <c r="K21" s="128"/>
      <c r="M21" s="26" t="e">
        <f t="shared" si="0"/>
        <v>#DIV/0!</v>
      </c>
      <c r="N21" s="139"/>
      <c r="O21" s="139"/>
      <c r="P21" s="139"/>
    </row>
    <row r="22" spans="1:17" ht="23" customHeight="1">
      <c r="B22" s="122"/>
      <c r="C22" s="123"/>
      <c r="D22" s="123"/>
      <c r="E22" s="123"/>
      <c r="F22" s="123"/>
      <c r="G22" s="124"/>
      <c r="H22" s="124"/>
      <c r="I22" s="11"/>
      <c r="J22" s="125"/>
      <c r="K22" s="125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/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5"/>
      <c r="C1" s="115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7"/>
      <c r="C2" s="117"/>
      <c r="D2" s="117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6" t="s">
        <v>251</v>
      </c>
      <c r="C3" s="11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268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269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270</v>
      </c>
      <c r="C7" s="94" t="s">
        <v>271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272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273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4" t="s">
        <v>253</v>
      </c>
      <c r="C13" s="114"/>
      <c r="D13" s="114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8" t="s">
        <v>289</v>
      </c>
      <c r="C14" s="118"/>
      <c r="D14" s="118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20" t="s">
        <v>295</v>
      </c>
      <c r="C15" s="120"/>
      <c r="D15" s="120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20"/>
      <c r="C16" s="120"/>
      <c r="D16" s="120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9" t="s">
        <v>254</v>
      </c>
      <c r="C17" s="119"/>
      <c r="D17" s="119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4"/>
      <c r="C19" s="114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1" t="s">
        <v>53</v>
      </c>
      <c r="C7" s="121"/>
      <c r="D7" s="121"/>
      <c r="E7" s="121"/>
      <c r="F7" s="121"/>
      <c r="G7" s="121"/>
      <c r="H7" s="121"/>
      <c r="I7" s="121"/>
      <c r="J7" s="121"/>
      <c r="K7" s="121"/>
      <c r="L7" s="29"/>
    </row>
    <row r="8" spans="1:15">
      <c r="A8" s="25"/>
      <c r="B8" s="158" t="s">
        <v>48</v>
      </c>
      <c r="C8" s="158"/>
      <c r="D8" s="158"/>
      <c r="E8" s="158"/>
      <c r="F8" s="158"/>
      <c r="G8" s="158"/>
      <c r="H8" s="158"/>
      <c r="I8" s="158"/>
      <c r="J8" s="158"/>
      <c r="K8" s="158"/>
      <c r="L8" s="25"/>
      <c r="M8" s="76"/>
      <c r="N8" s="21"/>
      <c r="O8" s="21"/>
    </row>
    <row r="9" spans="1:15" ht="10.5" customHeight="1">
      <c r="A9" s="25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25"/>
      <c r="M9" s="76"/>
      <c r="N9" s="21"/>
      <c r="O9" s="109" t="s">
        <v>322</v>
      </c>
    </row>
    <row r="10" spans="1:15" ht="18.75" customHeight="1">
      <c r="A10" s="25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25"/>
      <c r="M10" s="76"/>
      <c r="N10" s="21"/>
      <c r="O10" s="110" t="s">
        <v>305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10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10" t="s">
        <v>181</v>
      </c>
    </row>
    <row r="13" spans="1:15" ht="34.5" customHeight="1">
      <c r="A13" s="159" t="str">
        <f>INDEX(O9:O178,C12)</f>
        <v>Population aged 65 years or more, 2024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25"/>
      <c r="M13" s="76"/>
      <c r="N13" s="21"/>
      <c r="O13" s="110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10" t="s">
        <v>317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3507.5175997572446</v>
      </c>
      <c r="E15" s="31">
        <f>D15+0.00001*B15</f>
        <v>3507.5176097572448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56688.63363612898</v>
      </c>
      <c r="I15" s="21"/>
      <c r="J15" s="25"/>
      <c r="K15" s="25"/>
      <c r="L15" s="25"/>
      <c r="M15" s="76"/>
      <c r="N15" s="21"/>
      <c r="O15" s="110" t="s">
        <v>303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2905.7459556620729</v>
      </c>
      <c r="E16" s="31">
        <f t="shared" ref="E16:E79" si="0">D16+0.00001*B16</f>
        <v>2905.7459756620729</v>
      </c>
      <c r="F16" s="32">
        <f t="shared" ref="F16:F79" si="1">RANK(E16,E$15:E$93)</f>
        <v>70</v>
      </c>
      <c r="G16" s="24" t="str">
        <f t="shared" ref="G16:G79" si="2">VLOOKUP(MATCH(B16,F$15:F$93,0),$B$15:$D$93,2)</f>
        <v xml:space="preserve">Mornington Peninsula </v>
      </c>
      <c r="H16" s="31">
        <f t="shared" ref="H16:H79" si="3">VLOOKUP(MATCH(B16,F$15:F$93,0),$B$15:$D$93,3)</f>
        <v>47673.620060736714</v>
      </c>
      <c r="I16" s="21"/>
      <c r="J16" s="25"/>
      <c r="K16" s="25"/>
      <c r="L16" s="25"/>
      <c r="M16" s="76"/>
      <c r="N16" s="21"/>
      <c r="O16" s="110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22660.307524314991</v>
      </c>
      <c r="E17" s="31">
        <f t="shared" si="0"/>
        <v>22660.30755431499</v>
      </c>
      <c r="F17" s="32">
        <f t="shared" si="1"/>
        <v>21</v>
      </c>
      <c r="G17" s="24" t="str">
        <f t="shared" si="2"/>
        <v xml:space="preserve">Casey </v>
      </c>
      <c r="H17" s="31">
        <f t="shared" si="3"/>
        <v>43897.642638545309</v>
      </c>
      <c r="I17" s="21"/>
      <c r="J17" s="25"/>
      <c r="K17" s="25"/>
      <c r="L17" s="25"/>
      <c r="M17" s="76"/>
      <c r="N17" s="21"/>
      <c r="O17" s="110" t="s">
        <v>304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24536.140591966174</v>
      </c>
      <c r="E18" s="31">
        <f t="shared" si="0"/>
        <v>24536.140631966173</v>
      </c>
      <c r="F18" s="32">
        <f t="shared" si="1"/>
        <v>18</v>
      </c>
      <c r="G18" s="24" t="str">
        <f t="shared" si="2"/>
        <v xml:space="preserve">Monash </v>
      </c>
      <c r="H18" s="31">
        <f t="shared" si="3"/>
        <v>35536.288838671644</v>
      </c>
      <c r="I18" s="21"/>
      <c r="J18" s="25"/>
      <c r="K18" s="21"/>
      <c r="L18" s="25"/>
      <c r="M18" s="76"/>
      <c r="N18" s="21"/>
      <c r="O18" s="110" t="s">
        <v>228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13158.130450045637</v>
      </c>
      <c r="E19" s="31">
        <f t="shared" si="0"/>
        <v>13158.130500045638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33183.682972363626</v>
      </c>
      <c r="I19" s="21"/>
      <c r="J19" s="25"/>
      <c r="K19" s="21"/>
      <c r="L19" s="25"/>
      <c r="M19" s="76"/>
      <c r="N19" s="21"/>
      <c r="O19" s="110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13387.70653321021</v>
      </c>
      <c r="E20" s="31">
        <f t="shared" si="0"/>
        <v>13387.70659321021</v>
      </c>
      <c r="F20" s="32">
        <f t="shared" si="1"/>
        <v>34</v>
      </c>
      <c r="G20" s="24" t="str">
        <f t="shared" si="2"/>
        <v xml:space="preserve">Whitehorse </v>
      </c>
      <c r="H20" s="31">
        <f t="shared" si="3"/>
        <v>32553.801107261013</v>
      </c>
      <c r="I20" s="21"/>
      <c r="J20" s="25"/>
      <c r="K20" s="21"/>
      <c r="L20" s="25"/>
      <c r="M20" s="76"/>
      <c r="N20" s="21"/>
      <c r="O20" s="110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22553.331651833665</v>
      </c>
      <c r="E21" s="31">
        <f t="shared" si="0"/>
        <v>22553.331721833663</v>
      </c>
      <c r="F21" s="32">
        <f t="shared" si="1"/>
        <v>23</v>
      </c>
      <c r="G21" s="24" t="str">
        <f t="shared" si="2"/>
        <v xml:space="preserve">Whittlesea </v>
      </c>
      <c r="H21" s="31">
        <f t="shared" si="3"/>
        <v>32109.700859898217</v>
      </c>
      <c r="I21" s="21"/>
      <c r="J21" s="25"/>
      <c r="K21" s="21"/>
      <c r="L21" s="25"/>
      <c r="M21" s="76"/>
      <c r="N21" s="21"/>
      <c r="O21" s="110" t="s">
        <v>245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4354.5395416064421</v>
      </c>
      <c r="E22" s="31">
        <f t="shared" si="0"/>
        <v>4354.5396216064419</v>
      </c>
      <c r="F22" s="32">
        <f t="shared" si="1"/>
        <v>57</v>
      </c>
      <c r="G22" s="24" t="str">
        <f t="shared" si="2"/>
        <v xml:space="preserve">Boroondara </v>
      </c>
      <c r="H22" s="31">
        <f t="shared" si="3"/>
        <v>31998.951511713847</v>
      </c>
      <c r="I22" s="21"/>
      <c r="J22" s="25"/>
      <c r="K22" s="21"/>
      <c r="L22" s="25"/>
      <c r="M22" s="76"/>
      <c r="N22" s="21"/>
      <c r="O22" s="110" t="s">
        <v>246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31998.951511713847</v>
      </c>
      <c r="E23" s="31">
        <f t="shared" si="0"/>
        <v>31998.951601713849</v>
      </c>
      <c r="F23" s="32">
        <f t="shared" si="1"/>
        <v>8</v>
      </c>
      <c r="G23" s="24" t="str">
        <f t="shared" si="2"/>
        <v xml:space="preserve">Kingston </v>
      </c>
      <c r="H23" s="31">
        <f t="shared" si="3"/>
        <v>30631.507640907868</v>
      </c>
      <c r="I23" s="21"/>
      <c r="J23" s="25"/>
      <c r="K23" s="21"/>
      <c r="L23" s="25"/>
      <c r="M23" s="76"/>
      <c r="N23" s="21"/>
      <c r="O23" s="110" t="s">
        <v>248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33183.682972363626</v>
      </c>
      <c r="E24" s="31">
        <f t="shared" si="0"/>
        <v>33183.683072363623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29671.082823337412</v>
      </c>
      <c r="I24" s="21"/>
      <c r="J24" s="25"/>
      <c r="K24" s="21"/>
      <c r="L24" s="25"/>
      <c r="M24" s="76"/>
      <c r="N24" s="21"/>
      <c r="O24" s="110" t="s">
        <v>249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1774.9668874172185</v>
      </c>
      <c r="E25" s="31">
        <f t="shared" si="0"/>
        <v>1774.9669974172184</v>
      </c>
      <c r="F25" s="32">
        <f t="shared" si="1"/>
        <v>76</v>
      </c>
      <c r="G25" s="24" t="str">
        <f t="shared" si="2"/>
        <v xml:space="preserve">Hume </v>
      </c>
      <c r="H25" s="31">
        <f t="shared" si="3"/>
        <v>29313.021311899651</v>
      </c>
      <c r="I25" s="21"/>
      <c r="J25" s="25"/>
      <c r="K25" s="21"/>
      <c r="L25" s="25"/>
      <c r="M25" s="76"/>
      <c r="N25" s="21"/>
      <c r="O25" s="110" t="s">
        <v>250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9648.0797148750626</v>
      </c>
      <c r="E26" s="31">
        <f t="shared" si="0"/>
        <v>9648.0798348750632</v>
      </c>
      <c r="F26" s="32">
        <f t="shared" si="1"/>
        <v>43</v>
      </c>
      <c r="G26" s="24" t="str">
        <f t="shared" si="2"/>
        <v xml:space="preserve">Yarra Ranges </v>
      </c>
      <c r="H26" s="31">
        <f t="shared" si="3"/>
        <v>28913.540908919051</v>
      </c>
      <c r="I26" s="21"/>
      <c r="J26" s="25"/>
      <c r="K26" s="21"/>
      <c r="L26" s="25"/>
      <c r="M26" s="76"/>
      <c r="N26" s="21"/>
      <c r="O26" s="110" t="s">
        <v>247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16432.406923440452</v>
      </c>
      <c r="E27" s="31">
        <f t="shared" si="0"/>
        <v>16432.407053440453</v>
      </c>
      <c r="F27" s="32">
        <f t="shared" si="1"/>
        <v>29</v>
      </c>
      <c r="G27" s="24" t="str">
        <f t="shared" si="2"/>
        <v xml:space="preserve">Manningham </v>
      </c>
      <c r="H27" s="31">
        <f t="shared" si="3"/>
        <v>28683.151118797967</v>
      </c>
      <c r="I27" s="21"/>
      <c r="J27" s="25"/>
      <c r="K27" s="21"/>
      <c r="L27" s="25"/>
      <c r="M27" s="76"/>
      <c r="N27" s="21"/>
      <c r="O27" s="110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43897.642638545309</v>
      </c>
      <c r="E28" s="31">
        <f t="shared" si="0"/>
        <v>43897.642778545305</v>
      </c>
      <c r="F28" s="32">
        <f t="shared" si="1"/>
        <v>3</v>
      </c>
      <c r="G28" s="24" t="str">
        <f t="shared" si="2"/>
        <v xml:space="preserve">Greater Dandenong </v>
      </c>
      <c r="H28" s="31">
        <f t="shared" si="3"/>
        <v>26049.918140080103</v>
      </c>
      <c r="I28" s="21"/>
      <c r="J28" s="25"/>
      <c r="K28" s="21"/>
      <c r="L28" s="25"/>
      <c r="M28" s="76"/>
      <c r="N28" s="21"/>
      <c r="O28" s="110" t="s">
        <v>229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4261.4250773537642</v>
      </c>
      <c r="E29" s="31">
        <f t="shared" si="0"/>
        <v>4261.4252273537641</v>
      </c>
      <c r="F29" s="32">
        <f t="shared" si="1"/>
        <v>60</v>
      </c>
      <c r="G29" s="24" t="str">
        <f t="shared" si="2"/>
        <v xml:space="preserve">Glen Eira </v>
      </c>
      <c r="H29" s="31">
        <f t="shared" si="3"/>
        <v>25412.865452667418</v>
      </c>
      <c r="I29" s="21"/>
      <c r="J29" s="25"/>
      <c r="K29" s="21"/>
      <c r="L29" s="25"/>
      <c r="M29" s="76"/>
      <c r="N29" s="21"/>
      <c r="O29" s="110" t="s">
        <v>266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5476.6308983971621</v>
      </c>
      <c r="E30" s="31">
        <f t="shared" si="0"/>
        <v>5476.6310583971617</v>
      </c>
      <c r="F30" s="32">
        <f t="shared" si="1"/>
        <v>53</v>
      </c>
      <c r="G30" s="24" t="str">
        <f t="shared" si="2"/>
        <v xml:space="preserve">Wyndham </v>
      </c>
      <c r="H30" s="31">
        <f t="shared" si="3"/>
        <v>25357.278955959355</v>
      </c>
      <c r="I30" s="21"/>
      <c r="J30" s="25"/>
      <c r="K30" s="21"/>
      <c r="L30" s="25"/>
      <c r="M30" s="76"/>
      <c r="N30" s="21"/>
      <c r="O30" s="110" t="s">
        <v>240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4038.0075244544769</v>
      </c>
      <c r="E31" s="31">
        <f t="shared" si="0"/>
        <v>4038.0076944544767</v>
      </c>
      <c r="F31" s="32">
        <f t="shared" si="1"/>
        <v>64</v>
      </c>
      <c r="G31" s="24" t="str">
        <f t="shared" si="2"/>
        <v xml:space="preserve">Greater Bendigo </v>
      </c>
      <c r="H31" s="31">
        <f t="shared" si="3"/>
        <v>25113.585291606938</v>
      </c>
      <c r="I31" s="21"/>
      <c r="J31" s="25"/>
      <c r="K31" s="21"/>
      <c r="L31" s="25"/>
      <c r="M31" s="76"/>
      <c r="N31" s="21"/>
      <c r="O31" s="110" t="s">
        <v>262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22607.901241625612</v>
      </c>
      <c r="E32" s="31">
        <f t="shared" si="0"/>
        <v>22607.901421625611</v>
      </c>
      <c r="F32" s="32">
        <f t="shared" si="1"/>
        <v>22</v>
      </c>
      <c r="G32" s="24" t="str">
        <f t="shared" si="2"/>
        <v xml:space="preserve">Banyule </v>
      </c>
      <c r="H32" s="31">
        <f t="shared" si="3"/>
        <v>24536.140591966174</v>
      </c>
      <c r="I32" s="21"/>
      <c r="J32" s="25"/>
      <c r="K32" s="21"/>
      <c r="L32" s="25"/>
      <c r="M32" s="76"/>
      <c r="N32" s="21"/>
      <c r="O32" s="110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15561.513450863173</v>
      </c>
      <c r="E33" s="31">
        <f t="shared" si="0"/>
        <v>15561.513640863173</v>
      </c>
      <c r="F33" s="32">
        <f t="shared" si="1"/>
        <v>30</v>
      </c>
      <c r="G33" s="24" t="str">
        <f t="shared" si="2"/>
        <v xml:space="preserve">Frankston </v>
      </c>
      <c r="H33" s="31">
        <f t="shared" si="3"/>
        <v>24049.511153431449</v>
      </c>
      <c r="I33" s="21"/>
      <c r="J33" s="25"/>
      <c r="K33" s="21"/>
      <c r="L33" s="25"/>
      <c r="M33" s="76"/>
      <c r="N33" s="21"/>
      <c r="O33" s="111" t="s">
        <v>343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24049.511153431449</v>
      </c>
      <c r="E34" s="31">
        <f t="shared" si="0"/>
        <v>24049.511353431448</v>
      </c>
      <c r="F34" s="32">
        <f t="shared" si="1"/>
        <v>19</v>
      </c>
      <c r="G34" s="24" t="str">
        <f t="shared" si="2"/>
        <v xml:space="preserve">Moreland </v>
      </c>
      <c r="H34" s="31">
        <f t="shared" si="3"/>
        <v>23245.856519315981</v>
      </c>
      <c r="I34" s="21"/>
      <c r="J34" s="25"/>
      <c r="K34" s="21"/>
      <c r="L34" s="25"/>
      <c r="M34" s="76"/>
      <c r="N34" s="21"/>
      <c r="O34" s="111" t="s">
        <v>344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3230.0326295585414</v>
      </c>
      <c r="E35" s="31">
        <f t="shared" si="0"/>
        <v>3230.0328395585416</v>
      </c>
      <c r="F35" s="32">
        <f t="shared" si="1"/>
        <v>68</v>
      </c>
      <c r="G35" s="24" t="str">
        <f t="shared" si="2"/>
        <v xml:space="preserve">Ballarat </v>
      </c>
      <c r="H35" s="31">
        <f t="shared" si="3"/>
        <v>22660.307524314991</v>
      </c>
      <c r="I35" s="21"/>
      <c r="J35" s="25"/>
      <c r="K35" s="21"/>
      <c r="L35" s="25"/>
      <c r="M35" s="76"/>
      <c r="N35" s="21"/>
      <c r="O35" s="111" t="s">
        <v>345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25412.865452667418</v>
      </c>
      <c r="E36" s="31">
        <f t="shared" si="0"/>
        <v>25412.86567266742</v>
      </c>
      <c r="F36" s="32">
        <f t="shared" si="1"/>
        <v>15</v>
      </c>
      <c r="G36" s="24" t="str">
        <f t="shared" si="2"/>
        <v xml:space="preserve">Darebin </v>
      </c>
      <c r="H36" s="31">
        <f t="shared" si="3"/>
        <v>22607.901241625612</v>
      </c>
      <c r="I36" s="21"/>
      <c r="J36" s="25"/>
      <c r="K36" s="21"/>
      <c r="L36" s="25"/>
      <c r="M36" s="76"/>
      <c r="N36" s="21"/>
      <c r="O36" s="111" t="s">
        <v>346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5360.9806712616119</v>
      </c>
      <c r="E37" s="31">
        <f t="shared" si="0"/>
        <v>5360.9809012616115</v>
      </c>
      <c r="F37" s="32">
        <f t="shared" si="1"/>
        <v>54</v>
      </c>
      <c r="G37" s="24" t="str">
        <f t="shared" si="2"/>
        <v xml:space="preserve">Bayside </v>
      </c>
      <c r="H37" s="31">
        <f t="shared" si="3"/>
        <v>22553.331651833665</v>
      </c>
      <c r="I37" s="21"/>
      <c r="J37" s="25"/>
      <c r="K37" s="21"/>
      <c r="L37" s="25"/>
      <c r="M37" s="76"/>
      <c r="N37" s="21"/>
      <c r="O37" s="110" t="s">
        <v>323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4160.9970950499655</v>
      </c>
      <c r="E38" s="31">
        <f t="shared" si="0"/>
        <v>4160.9973350499658</v>
      </c>
      <c r="F38" s="32">
        <f t="shared" si="1"/>
        <v>62</v>
      </c>
      <c r="G38" s="24" t="str">
        <f t="shared" si="2"/>
        <v xml:space="preserve">Moonee Valley </v>
      </c>
      <c r="H38" s="31">
        <f t="shared" si="3"/>
        <v>22106.11289787012</v>
      </c>
      <c r="I38" s="21"/>
      <c r="J38" s="25"/>
      <c r="K38" s="21"/>
      <c r="L38" s="25"/>
      <c r="M38" s="76"/>
      <c r="N38" s="21"/>
      <c r="O38" s="110" t="s">
        <v>230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25113.585291606938</v>
      </c>
      <c r="E39" s="31">
        <f t="shared" si="0"/>
        <v>25113.585541606939</v>
      </c>
      <c r="F39" s="32">
        <f t="shared" si="1"/>
        <v>17</v>
      </c>
      <c r="G39" s="24" t="str">
        <f t="shared" si="2"/>
        <v xml:space="preserve">Maroondah </v>
      </c>
      <c r="H39" s="31">
        <f t="shared" si="3"/>
        <v>21022.175315496363</v>
      </c>
      <c r="I39" s="21"/>
      <c r="J39" s="25"/>
      <c r="K39" s="21"/>
      <c r="L39" s="25"/>
      <c r="M39" s="76"/>
      <c r="N39" s="21"/>
      <c r="O39" s="110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26049.918140080103</v>
      </c>
      <c r="E40" s="31">
        <f t="shared" si="0"/>
        <v>26049.918400080103</v>
      </c>
      <c r="F40" s="32">
        <f t="shared" si="1"/>
        <v>14</v>
      </c>
      <c r="G40" s="24" t="str">
        <f t="shared" si="2"/>
        <v xml:space="preserve">Melton </v>
      </c>
      <c r="H40" s="31">
        <f t="shared" si="3"/>
        <v>19239.346154219442</v>
      </c>
      <c r="I40" s="21"/>
      <c r="J40" s="25"/>
      <c r="K40" s="21"/>
      <c r="L40" s="25"/>
      <c r="M40" s="76"/>
      <c r="N40" s="21"/>
      <c r="O40" s="110" t="s">
        <v>339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56688.63363612898</v>
      </c>
      <c r="E41" s="31">
        <f t="shared" si="0"/>
        <v>56688.633906128976</v>
      </c>
      <c r="F41" s="32">
        <f t="shared" si="1"/>
        <v>1</v>
      </c>
      <c r="G41" s="24" t="str">
        <f t="shared" si="2"/>
        <v xml:space="preserve">Stonnington </v>
      </c>
      <c r="H41" s="31">
        <f t="shared" si="3"/>
        <v>18560.943081690395</v>
      </c>
      <c r="I41" s="21"/>
      <c r="J41" s="25"/>
      <c r="K41" s="21"/>
      <c r="L41" s="25"/>
      <c r="M41" s="76"/>
      <c r="N41" s="21"/>
      <c r="O41" s="110" t="s">
        <v>324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13567.49223982064</v>
      </c>
      <c r="E42" s="31">
        <f t="shared" si="0"/>
        <v>13567.49251982064</v>
      </c>
      <c r="F42" s="32">
        <f t="shared" si="1"/>
        <v>33</v>
      </c>
      <c r="G42" s="24" t="str">
        <f t="shared" si="2"/>
        <v xml:space="preserve">Latrobe </v>
      </c>
      <c r="H42" s="31">
        <f t="shared" si="3"/>
        <v>16794.18475062057</v>
      </c>
      <c r="I42" s="21"/>
      <c r="J42" s="25"/>
      <c r="K42" s="21"/>
      <c r="L42" s="25"/>
      <c r="M42" s="76"/>
      <c r="N42" s="21"/>
      <c r="O42" s="110" t="s">
        <v>325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4844.3431313737256</v>
      </c>
      <c r="E43" s="31">
        <f t="shared" si="0"/>
        <v>4844.3434213737255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16432.406923440452</v>
      </c>
      <c r="I43" s="21"/>
      <c r="J43" s="25"/>
      <c r="K43" s="21"/>
      <c r="L43" s="25"/>
      <c r="M43" s="76"/>
      <c r="N43" s="21"/>
      <c r="O43" s="110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1552.015830185285</v>
      </c>
      <c r="E44" s="31">
        <f t="shared" si="0"/>
        <v>1552.016130185285</v>
      </c>
      <c r="F44" s="32">
        <f t="shared" si="1"/>
        <v>78</v>
      </c>
      <c r="G44" s="24" t="str">
        <f t="shared" si="2"/>
        <v xml:space="preserve">East Gippsland </v>
      </c>
      <c r="H44" s="31">
        <f t="shared" si="3"/>
        <v>15561.513450863173</v>
      </c>
      <c r="I44" s="21"/>
      <c r="J44" s="25"/>
      <c r="K44" s="21"/>
      <c r="L44" s="25"/>
      <c r="M44" s="76"/>
      <c r="N44" s="21"/>
      <c r="O44" s="110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15518.504373893191</v>
      </c>
      <c r="E45" s="31">
        <f t="shared" si="0"/>
        <v>15518.50468389319</v>
      </c>
      <c r="F45" s="32">
        <f t="shared" si="1"/>
        <v>31</v>
      </c>
      <c r="G45" s="24" t="str">
        <f t="shared" si="2"/>
        <v xml:space="preserve">Hobsons Bay </v>
      </c>
      <c r="H45" s="31">
        <f t="shared" si="3"/>
        <v>15518.504373893191</v>
      </c>
      <c r="I45" s="21"/>
      <c r="J45" s="25"/>
      <c r="K45" s="21"/>
      <c r="L45" s="25"/>
      <c r="M45" s="76"/>
      <c r="N45" s="21"/>
      <c r="O45" s="110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4414.2149150873738</v>
      </c>
      <c r="E46" s="31">
        <f t="shared" si="0"/>
        <v>4414.2152350873739</v>
      </c>
      <c r="F46" s="32">
        <f t="shared" si="1"/>
        <v>56</v>
      </c>
      <c r="G46" s="24" t="str">
        <f t="shared" si="2"/>
        <v xml:space="preserve">Port Phillip </v>
      </c>
      <c r="H46" s="31">
        <f t="shared" si="3"/>
        <v>15070.886919600054</v>
      </c>
      <c r="I46" s="21"/>
      <c r="J46" s="25"/>
      <c r="K46" s="21"/>
      <c r="L46" s="25"/>
      <c r="M46" s="76"/>
      <c r="N46" s="21"/>
      <c r="O46" s="110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29313.021311899651</v>
      </c>
      <c r="E47" s="31">
        <f t="shared" si="0"/>
        <v>29313.02164189965</v>
      </c>
      <c r="F47" s="32">
        <f t="shared" si="1"/>
        <v>11</v>
      </c>
      <c r="G47" s="24" t="str">
        <f t="shared" si="2"/>
        <v xml:space="preserve">Greater Shepparton </v>
      </c>
      <c r="H47" s="31">
        <f t="shared" si="3"/>
        <v>13567.49223982064</v>
      </c>
      <c r="I47" s="21"/>
      <c r="J47" s="25"/>
      <c r="K47" s="21"/>
      <c r="L47" s="25"/>
      <c r="M47" s="76"/>
      <c r="N47" s="21"/>
      <c r="O47" s="110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4277.297927754501</v>
      </c>
      <c r="E48" s="31">
        <f t="shared" si="0"/>
        <v>4277.2982677545006</v>
      </c>
      <c r="F48" s="32">
        <f t="shared" si="1"/>
        <v>59</v>
      </c>
      <c r="G48" s="24" t="str">
        <f t="shared" si="2"/>
        <v xml:space="preserve">Baw Baw </v>
      </c>
      <c r="H48" s="31">
        <f t="shared" si="3"/>
        <v>13387.70653321021</v>
      </c>
      <c r="I48" s="21"/>
      <c r="J48" s="25"/>
      <c r="K48" s="21"/>
      <c r="L48" s="25"/>
      <c r="M48" s="76"/>
      <c r="N48" s="21"/>
      <c r="O48" s="110" t="s">
        <v>231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30631.507640907868</v>
      </c>
      <c r="E49" s="31">
        <f t="shared" si="0"/>
        <v>30631.507990907867</v>
      </c>
      <c r="F49" s="32">
        <f t="shared" si="1"/>
        <v>9</v>
      </c>
      <c r="G49" s="24" t="str">
        <f t="shared" si="2"/>
        <v xml:space="preserve">Bass Coast </v>
      </c>
      <c r="H49" s="31">
        <f t="shared" si="3"/>
        <v>13158.130450045637</v>
      </c>
      <c r="I49" s="21"/>
      <c r="J49" s="25"/>
      <c r="K49" s="21"/>
      <c r="L49" s="25"/>
      <c r="M49" s="76"/>
      <c r="N49" s="21"/>
      <c r="O49" s="110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29671.082823337412</v>
      </c>
      <c r="E50" s="31">
        <f t="shared" si="0"/>
        <v>29671.08318333741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12030.34165933843</v>
      </c>
      <c r="I50" s="21"/>
      <c r="J50" s="25"/>
      <c r="K50" s="21"/>
      <c r="L50" s="25"/>
      <c r="M50" s="76"/>
      <c r="N50" s="21"/>
      <c r="O50" s="110" t="s">
        <v>328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16794.18475062057</v>
      </c>
      <c r="E51" s="31">
        <f t="shared" si="0"/>
        <v>16794.185120620572</v>
      </c>
      <c r="F51" s="32">
        <f t="shared" si="1"/>
        <v>28</v>
      </c>
      <c r="G51" s="24" t="str">
        <f t="shared" si="2"/>
        <v xml:space="preserve">Mildura </v>
      </c>
      <c r="H51" s="31">
        <f t="shared" si="3"/>
        <v>11383.222608333044</v>
      </c>
      <c r="I51" s="21"/>
      <c r="J51" s="25"/>
      <c r="K51" s="21"/>
      <c r="L51" s="25"/>
      <c r="M51" s="76"/>
      <c r="N51" s="21"/>
      <c r="O51" s="110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2328.4019620498257</v>
      </c>
      <c r="E52" s="31">
        <f t="shared" si="0"/>
        <v>2328.4023420498256</v>
      </c>
      <c r="F52" s="32">
        <f t="shared" si="1"/>
        <v>72</v>
      </c>
      <c r="G52" s="24" t="str">
        <f t="shared" si="2"/>
        <v xml:space="preserve">Yarra </v>
      </c>
      <c r="H52" s="31">
        <f t="shared" si="3"/>
        <v>11372.932538379444</v>
      </c>
      <c r="I52" s="21"/>
      <c r="J52" s="25"/>
      <c r="K52" s="21"/>
      <c r="L52" s="25"/>
      <c r="M52" s="76"/>
      <c r="N52" s="21"/>
      <c r="O52" s="110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10630.822411186697</v>
      </c>
      <c r="E53" s="31">
        <f t="shared" si="0"/>
        <v>10630.822801186696</v>
      </c>
      <c r="F53" s="32">
        <f t="shared" si="1"/>
        <v>41</v>
      </c>
      <c r="G53" s="24" t="str">
        <f t="shared" si="2"/>
        <v xml:space="preserve">Nillumbik </v>
      </c>
      <c r="H53" s="31">
        <f t="shared" si="3"/>
        <v>11236.683943474962</v>
      </c>
      <c r="I53" s="21"/>
      <c r="J53" s="25"/>
      <c r="K53" s="21"/>
      <c r="L53" s="25"/>
      <c r="M53" s="76"/>
      <c r="N53" s="21"/>
      <c r="O53" s="110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28683.151118797967</v>
      </c>
      <c r="E54" s="31">
        <f t="shared" si="0"/>
        <v>28683.151518797968</v>
      </c>
      <c r="F54" s="32">
        <f t="shared" si="1"/>
        <v>13</v>
      </c>
      <c r="G54" s="24" t="str">
        <f t="shared" si="2"/>
        <v xml:space="preserve">Wellington </v>
      </c>
      <c r="H54" s="31">
        <f t="shared" si="3"/>
        <v>11062.231051079698</v>
      </c>
      <c r="I54" s="21"/>
      <c r="J54" s="25"/>
      <c r="K54" s="21"/>
      <c r="L54" s="25"/>
      <c r="M54" s="76"/>
      <c r="N54" s="21"/>
      <c r="O54" s="110"/>
    </row>
    <row r="55" spans="1:15" ht="21">
      <c r="A55" s="21"/>
      <c r="B55" s="23">
        <v>41</v>
      </c>
      <c r="C55" s="38" t="s">
        <v>95</v>
      </c>
      <c r="D55" s="31">
        <f>VLOOKUP(B55,'Data 3 Table'!$A$4:$FP$84,$C$12+2)</f>
        <v>2870.8378532144889</v>
      </c>
      <c r="E55" s="31">
        <f t="shared" si="0"/>
        <v>2870.838263214489</v>
      </c>
      <c r="F55" s="32">
        <f t="shared" si="1"/>
        <v>71</v>
      </c>
      <c r="G55" s="24" t="str">
        <f t="shared" si="2"/>
        <v xml:space="preserve">Macedon Ranges </v>
      </c>
      <c r="H55" s="31">
        <f t="shared" si="3"/>
        <v>10630.822411186697</v>
      </c>
      <c r="I55" s="21"/>
      <c r="J55" s="25"/>
      <c r="K55" s="21"/>
      <c r="L55" s="25"/>
      <c r="M55" s="76"/>
      <c r="N55" s="21"/>
      <c r="O55" s="110"/>
    </row>
    <row r="56" spans="1:15">
      <c r="A56" s="21"/>
      <c r="B56" s="23">
        <v>42</v>
      </c>
      <c r="C56" s="38" t="s">
        <v>96</v>
      </c>
      <c r="D56" s="31">
        <f>VLOOKUP(B56,'Data 3 Table'!$A$4:$FP$84,$C$12+2)</f>
        <v>9875.8022383993375</v>
      </c>
      <c r="E56" s="31">
        <f t="shared" si="0"/>
        <v>9875.8026583993378</v>
      </c>
      <c r="F56" s="32">
        <f t="shared" si="1"/>
        <v>42</v>
      </c>
      <c r="G56" s="24" t="str">
        <f t="shared" si="2"/>
        <v xml:space="preserve">Maribyrnong </v>
      </c>
      <c r="H56" s="31">
        <f t="shared" si="3"/>
        <v>9875.8022383993375</v>
      </c>
      <c r="I56" s="21"/>
      <c r="J56" s="25"/>
      <c r="K56" s="21"/>
      <c r="L56" s="25"/>
      <c r="M56" s="76"/>
      <c r="N56" s="21"/>
      <c r="O56" s="110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21022.175315496363</v>
      </c>
      <c r="E57" s="31">
        <f t="shared" si="0"/>
        <v>21022.175745496363</v>
      </c>
      <c r="F57" s="32">
        <f t="shared" si="1"/>
        <v>25</v>
      </c>
      <c r="G57" s="24" t="str">
        <f t="shared" si="2"/>
        <v xml:space="preserve">Campaspe </v>
      </c>
      <c r="H57" s="31">
        <f t="shared" si="3"/>
        <v>9648.0797148750626</v>
      </c>
      <c r="I57" s="21"/>
      <c r="J57" s="25"/>
      <c r="K57" s="21"/>
      <c r="L57" s="25"/>
      <c r="M57" s="76"/>
      <c r="N57" s="21"/>
      <c r="O57" s="110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12030.34165933843</v>
      </c>
      <c r="E58" s="31">
        <f t="shared" si="0"/>
        <v>12030.34209933843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8625.0621608448419</v>
      </c>
      <c r="I58" s="21"/>
      <c r="J58" s="25"/>
      <c r="K58" s="21"/>
      <c r="L58" s="25"/>
      <c r="M58" s="76"/>
      <c r="N58" s="21"/>
      <c r="O58" s="110" t="s">
        <v>232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19239.346154219442</v>
      </c>
      <c r="E59" s="31">
        <f t="shared" si="0"/>
        <v>19239.346604219441</v>
      </c>
      <c r="F59" s="32">
        <f t="shared" si="1"/>
        <v>26</v>
      </c>
      <c r="G59" s="24" t="str">
        <f t="shared" si="2"/>
        <v xml:space="preserve">South Gippsland </v>
      </c>
      <c r="H59" s="31">
        <f t="shared" si="3"/>
        <v>8442.1547545663943</v>
      </c>
      <c r="I59" s="21"/>
      <c r="J59" s="25"/>
      <c r="K59" s="21"/>
      <c r="L59" s="25"/>
      <c r="M59" s="76"/>
      <c r="N59" s="21"/>
      <c r="O59" s="110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11383.222608333044</v>
      </c>
      <c r="E60" s="31">
        <f t="shared" si="0"/>
        <v>11383.223068333044</v>
      </c>
      <c r="F60" s="32">
        <f t="shared" si="1"/>
        <v>37</v>
      </c>
      <c r="G60" s="24" t="str">
        <f t="shared" si="2"/>
        <v xml:space="preserve">Mitchell </v>
      </c>
      <c r="H60" s="31">
        <f t="shared" si="3"/>
        <v>8368.9670346034291</v>
      </c>
      <c r="I60" s="21"/>
      <c r="J60" s="25"/>
      <c r="K60" s="21"/>
      <c r="L60" s="25"/>
      <c r="M60" s="76"/>
      <c r="N60" s="21"/>
      <c r="O60" s="110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8368.9670346034291</v>
      </c>
      <c r="E61" s="31">
        <f t="shared" si="0"/>
        <v>8368.9675046034299</v>
      </c>
      <c r="F61" s="32">
        <f t="shared" si="1"/>
        <v>46</v>
      </c>
      <c r="G61" s="24" t="str">
        <f t="shared" si="2"/>
        <v xml:space="preserve">Surf Coast </v>
      </c>
      <c r="H61" s="31">
        <f t="shared" si="3"/>
        <v>8103.0711595235671</v>
      </c>
      <c r="I61" s="21"/>
      <c r="J61" s="25"/>
      <c r="K61" s="21"/>
      <c r="L61" s="25"/>
      <c r="M61" s="76"/>
      <c r="N61" s="21"/>
      <c r="O61" s="110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8625.0621608448419</v>
      </c>
      <c r="E62" s="31">
        <f t="shared" si="0"/>
        <v>8625.0626408448425</v>
      </c>
      <c r="F62" s="32">
        <f t="shared" si="1"/>
        <v>44</v>
      </c>
      <c r="G62" s="24" t="str">
        <f t="shared" si="2"/>
        <v xml:space="preserve">Wodonga </v>
      </c>
      <c r="H62" s="31">
        <f t="shared" si="3"/>
        <v>8073.7058451531302</v>
      </c>
      <c r="I62" s="21"/>
      <c r="J62" s="25"/>
      <c r="K62" s="21"/>
      <c r="L62" s="25"/>
      <c r="M62" s="76"/>
      <c r="N62" s="21"/>
      <c r="O62" s="110" t="s">
        <v>330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35536.288838671644</v>
      </c>
      <c r="E63" s="31">
        <f t="shared" si="0"/>
        <v>35536.289328671643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7713.8524521681011</v>
      </c>
      <c r="I63" s="21"/>
      <c r="J63" s="25"/>
      <c r="K63" s="21"/>
      <c r="L63" s="25"/>
      <c r="M63" s="76"/>
      <c r="N63" s="21"/>
      <c r="O63" s="110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22106.11289787012</v>
      </c>
      <c r="E64" s="31">
        <f t="shared" si="0"/>
        <v>22106.113397870118</v>
      </c>
      <c r="F64" s="32">
        <f t="shared" si="1"/>
        <v>24</v>
      </c>
      <c r="G64" s="24" t="str">
        <f t="shared" si="2"/>
        <v xml:space="preserve">Wangaratta </v>
      </c>
      <c r="H64" s="31">
        <f t="shared" si="3"/>
        <v>7394.934537697487</v>
      </c>
      <c r="I64" s="21"/>
      <c r="J64" s="25"/>
      <c r="K64" s="21"/>
      <c r="L64" s="25"/>
      <c r="M64" s="76"/>
      <c r="N64" s="21"/>
      <c r="O64" s="110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6840.0394965721889</v>
      </c>
      <c r="E65" s="31">
        <f t="shared" si="0"/>
        <v>6840.0400065721888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6840.0394965721889</v>
      </c>
      <c r="I65" s="21"/>
      <c r="J65" s="25"/>
      <c r="K65" s="21"/>
      <c r="L65" s="25"/>
      <c r="M65" s="76"/>
      <c r="N65" s="21"/>
      <c r="O65" s="110" t="s">
        <v>333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23245.856519315981</v>
      </c>
      <c r="E66" s="31">
        <f t="shared" si="0"/>
        <v>23245.857039315983</v>
      </c>
      <c r="F66" s="32">
        <f t="shared" si="1"/>
        <v>20</v>
      </c>
      <c r="G66" s="24" t="str">
        <f t="shared" si="2"/>
        <v xml:space="preserve">Mount Alexander </v>
      </c>
      <c r="H66" s="31">
        <f t="shared" si="3"/>
        <v>6103.439055209953</v>
      </c>
      <c r="I66" s="21"/>
      <c r="J66" s="25"/>
      <c r="K66" s="21"/>
      <c r="L66" s="25"/>
      <c r="M66" s="76"/>
      <c r="N66" s="21"/>
      <c r="O66" s="110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47673.620060736714</v>
      </c>
      <c r="E67" s="31">
        <f t="shared" si="0"/>
        <v>47673.620590736711</v>
      </c>
      <c r="F67" s="32">
        <f t="shared" si="1"/>
        <v>2</v>
      </c>
      <c r="G67" s="24" t="str">
        <f t="shared" si="2"/>
        <v xml:space="preserve">Colac-Otway </v>
      </c>
      <c r="H67" s="31">
        <f t="shared" si="3"/>
        <v>5476.6308983971621</v>
      </c>
      <c r="I67" s="21"/>
      <c r="J67" s="25"/>
      <c r="K67" s="21"/>
      <c r="L67" s="25"/>
      <c r="M67" s="76"/>
      <c r="N67" s="21"/>
      <c r="O67" s="110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6103.439055209953</v>
      </c>
      <c r="E68" s="31">
        <f t="shared" si="0"/>
        <v>6103.439595209953</v>
      </c>
      <c r="F68" s="32">
        <f t="shared" si="1"/>
        <v>52</v>
      </c>
      <c r="G68" s="24" t="str">
        <f t="shared" si="2"/>
        <v xml:space="preserve">Glenelg </v>
      </c>
      <c r="H68" s="31">
        <f t="shared" si="3"/>
        <v>5360.9806712616119</v>
      </c>
      <c r="I68" s="21"/>
      <c r="J68" s="25"/>
      <c r="K68" s="21"/>
      <c r="L68" s="25"/>
      <c r="M68" s="76"/>
      <c r="N68" s="21"/>
      <c r="O68" s="110" t="s">
        <v>233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3962.9337308347531</v>
      </c>
      <c r="E69" s="31">
        <f t="shared" si="0"/>
        <v>3962.9342808347533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4844.3431313737256</v>
      </c>
      <c r="I69" s="21"/>
      <c r="J69" s="25"/>
      <c r="K69" s="21"/>
      <c r="L69" s="25"/>
      <c r="M69" s="76"/>
      <c r="N69" s="21"/>
      <c r="O69" s="110" t="s">
        <v>207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4185.4578865779613</v>
      </c>
      <c r="E70" s="31">
        <f t="shared" si="0"/>
        <v>4185.4584465779617</v>
      </c>
      <c r="F70" s="32">
        <f t="shared" si="1"/>
        <v>61</v>
      </c>
      <c r="G70" s="24" t="str">
        <f t="shared" si="2"/>
        <v xml:space="preserve">Horsham </v>
      </c>
      <c r="H70" s="31">
        <f t="shared" si="3"/>
        <v>4414.2149150873738</v>
      </c>
      <c r="I70" s="21"/>
      <c r="J70" s="25"/>
      <c r="K70" s="21"/>
      <c r="L70" s="25"/>
      <c r="M70" s="76"/>
      <c r="N70" s="21"/>
      <c r="O70" s="110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11236.683943474962</v>
      </c>
      <c r="E71" s="31">
        <f t="shared" si="0"/>
        <v>11236.684513474962</v>
      </c>
      <c r="F71" s="32">
        <f t="shared" si="1"/>
        <v>39</v>
      </c>
      <c r="G71" s="24" t="str">
        <f t="shared" si="2"/>
        <v xml:space="preserve">Benalla </v>
      </c>
      <c r="H71" s="31">
        <f t="shared" si="3"/>
        <v>4354.5395416064421</v>
      </c>
      <c r="I71" s="21"/>
      <c r="J71" s="25"/>
      <c r="K71" s="21"/>
      <c r="L71" s="25"/>
      <c r="M71" s="76"/>
      <c r="N71" s="21"/>
      <c r="O71" s="110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3186.8379493223333</v>
      </c>
      <c r="E72" s="31">
        <f t="shared" si="0"/>
        <v>3186.8385293223332</v>
      </c>
      <c r="F72" s="32">
        <f t="shared" si="1"/>
        <v>69</v>
      </c>
      <c r="G72" s="24" t="str">
        <f t="shared" si="2"/>
        <v xml:space="preserve">Southern Grampians </v>
      </c>
      <c r="H72" s="31">
        <f t="shared" si="3"/>
        <v>4334.4262295081971</v>
      </c>
      <c r="I72" s="21"/>
      <c r="J72" s="25"/>
      <c r="K72" s="21"/>
      <c r="L72" s="25"/>
      <c r="M72" s="76"/>
      <c r="N72" s="21"/>
      <c r="O72" s="110" t="s">
        <v>175</v>
      </c>
    </row>
    <row r="73" spans="1:15">
      <c r="A73" s="21"/>
      <c r="B73" s="23">
        <v>59</v>
      </c>
      <c r="C73" s="38" t="s">
        <v>113</v>
      </c>
      <c r="D73" s="31">
        <f>VLOOKUP(B73,'Data 3 Table'!$A$4:$FP$84,$C$12+2)</f>
        <v>15070.886919600054</v>
      </c>
      <c r="E73" s="31">
        <f t="shared" si="0"/>
        <v>15070.887509600054</v>
      </c>
      <c r="F73" s="32">
        <f t="shared" si="1"/>
        <v>32</v>
      </c>
      <c r="G73" s="24" t="str">
        <f t="shared" si="2"/>
        <v xml:space="preserve">Indigo </v>
      </c>
      <c r="H73" s="31">
        <f t="shared" si="3"/>
        <v>4277.297927754501</v>
      </c>
      <c r="I73" s="21"/>
      <c r="J73" s="25"/>
      <c r="K73" s="21"/>
      <c r="L73" s="25"/>
      <c r="M73" s="76"/>
      <c r="N73" s="21"/>
      <c r="O73" s="110" t="s">
        <v>150</v>
      </c>
    </row>
    <row r="74" spans="1:15" ht="21">
      <c r="A74" s="21"/>
      <c r="B74" s="23">
        <v>60</v>
      </c>
      <c r="C74" s="38" t="s">
        <v>114</v>
      </c>
      <c r="D74" s="31">
        <f>VLOOKUP(B74,'Data 3 Table'!$A$4:$FP$84,$C$12+2)</f>
        <v>2196.4734138196764</v>
      </c>
      <c r="E74" s="31">
        <f t="shared" si="0"/>
        <v>2196.4740138196762</v>
      </c>
      <c r="F74" s="32">
        <f t="shared" si="1"/>
        <v>73</v>
      </c>
      <c r="G74" s="24" t="str">
        <f t="shared" si="2"/>
        <v xml:space="preserve">Central Goldfields </v>
      </c>
      <c r="H74" s="31">
        <f t="shared" si="3"/>
        <v>4261.4250773537642</v>
      </c>
      <c r="I74" s="21"/>
      <c r="J74" s="25"/>
      <c r="K74" s="21"/>
      <c r="L74" s="25"/>
      <c r="M74" s="76"/>
      <c r="N74" s="21"/>
      <c r="O74" s="110" t="s">
        <v>260</v>
      </c>
    </row>
    <row r="75" spans="1:15">
      <c r="A75" s="8"/>
      <c r="B75" s="23">
        <v>61</v>
      </c>
      <c r="C75" s="38" t="s">
        <v>115</v>
      </c>
      <c r="D75" s="31">
        <f>VLOOKUP(B75,'Data 3 Table'!$A$4:$FP$84,$C$12+2)</f>
        <v>1591.8536133415689</v>
      </c>
      <c r="E75" s="31">
        <f t="shared" si="0"/>
        <v>1591.854223341569</v>
      </c>
      <c r="F75" s="32">
        <f t="shared" si="1"/>
        <v>77</v>
      </c>
      <c r="G75" s="24" t="str">
        <f t="shared" si="2"/>
        <v xml:space="preserve">Murrindindi </v>
      </c>
      <c r="H75" s="31">
        <f t="shared" si="3"/>
        <v>4185.4578865779613</v>
      </c>
      <c r="I75" s="8"/>
      <c r="K75" s="8"/>
      <c r="O75" s="110" t="s">
        <v>259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8442.1547545663943</v>
      </c>
      <c r="E76" s="31">
        <f t="shared" si="0"/>
        <v>8442.155374566395</v>
      </c>
      <c r="F76" s="32">
        <f t="shared" si="1"/>
        <v>45</v>
      </c>
      <c r="G76" s="24" t="str">
        <f t="shared" si="2"/>
        <v xml:space="preserve">Golden Plains </v>
      </c>
      <c r="H76" s="31">
        <f t="shared" si="3"/>
        <v>4160.9970950499655</v>
      </c>
      <c r="I76" s="8"/>
      <c r="K76" s="8"/>
      <c r="O76" s="110" t="s">
        <v>320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4334.4262295081971</v>
      </c>
      <c r="E77" s="31">
        <f t="shared" si="0"/>
        <v>4334.4268595081967</v>
      </c>
      <c r="F77" s="32">
        <f t="shared" si="1"/>
        <v>58</v>
      </c>
      <c r="G77" s="24" t="str">
        <f t="shared" si="2"/>
        <v xml:space="preserve">Swan Hill </v>
      </c>
      <c r="H77" s="31">
        <f t="shared" si="3"/>
        <v>4138.8472562700363</v>
      </c>
      <c r="I77" s="8"/>
      <c r="K77" s="8"/>
      <c r="O77" s="110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18560.943081690395</v>
      </c>
      <c r="E78" s="31">
        <f t="shared" si="0"/>
        <v>18560.943721690393</v>
      </c>
      <c r="F78" s="32">
        <f t="shared" si="1"/>
        <v>27</v>
      </c>
      <c r="G78" s="24" t="str">
        <f t="shared" si="2"/>
        <v xml:space="preserve">Corangamite </v>
      </c>
      <c r="H78" s="31">
        <f t="shared" si="3"/>
        <v>4038.0075244544769</v>
      </c>
      <c r="I78" s="8"/>
      <c r="K78" s="8"/>
      <c r="O78" s="110" t="s">
        <v>234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3779.8403869407498</v>
      </c>
      <c r="E79" s="31">
        <f t="shared" si="0"/>
        <v>3779.8410369407497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3962.9337308347531</v>
      </c>
      <c r="I79" s="8"/>
      <c r="K79" s="8"/>
      <c r="O79" s="110" t="s">
        <v>309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8103.0711595235671</v>
      </c>
      <c r="E80" s="31">
        <f t="shared" ref="E80:E93" si="4">D80+0.00001*B80</f>
        <v>8103.0718195235668</v>
      </c>
      <c r="F80" s="32">
        <f t="shared" ref="F80:F93" si="5">RANK(E80,E$15:E$93)</f>
        <v>47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3779.8403869407498</v>
      </c>
      <c r="I80" s="8"/>
      <c r="K80" s="8"/>
      <c r="O80" s="110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4138.8472562700363</v>
      </c>
      <c r="E81" s="31">
        <f t="shared" si="4"/>
        <v>4138.8479262700366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3507.5175997572446</v>
      </c>
      <c r="I81" s="8"/>
      <c r="K81" s="8"/>
      <c r="O81" s="110" t="s">
        <v>166</v>
      </c>
    </row>
    <row r="82" spans="1:15">
      <c r="A82" s="8"/>
      <c r="B82" s="23">
        <v>68</v>
      </c>
      <c r="C82" s="38" t="s">
        <v>122</v>
      </c>
      <c r="D82" s="31">
        <f>VLOOKUP(B82,'Data 3 Table'!$A$4:$FP$84,$C$12+2)</f>
        <v>1845.2248918789044</v>
      </c>
      <c r="E82" s="31">
        <f t="shared" si="4"/>
        <v>1845.2255718789045</v>
      </c>
      <c r="F82" s="32">
        <f t="shared" si="5"/>
        <v>75</v>
      </c>
      <c r="G82" s="24" t="str">
        <f t="shared" si="6"/>
        <v xml:space="preserve">Gannawarra </v>
      </c>
      <c r="H82" s="31">
        <f t="shared" si="7"/>
        <v>3230.0326295585414</v>
      </c>
      <c r="I82" s="8"/>
      <c r="K82" s="8"/>
      <c r="O82" s="110" t="s">
        <v>208</v>
      </c>
    </row>
    <row r="83" spans="1:15" ht="21">
      <c r="A83" s="8"/>
      <c r="B83" s="23">
        <v>69</v>
      </c>
      <c r="C83" s="38" t="s">
        <v>123</v>
      </c>
      <c r="D83" s="31">
        <f>VLOOKUP(B83,'Data 3 Table'!$A$4:$FP$84,$C$12+2)</f>
        <v>7394.934537697487</v>
      </c>
      <c r="E83" s="31">
        <f t="shared" si="4"/>
        <v>7394.9352276974869</v>
      </c>
      <c r="F83" s="32">
        <f t="shared" si="5"/>
        <v>50</v>
      </c>
      <c r="G83" s="24" t="str">
        <f t="shared" si="6"/>
        <v xml:space="preserve">Northern Grampians </v>
      </c>
      <c r="H83" s="31">
        <f t="shared" si="7"/>
        <v>3186.8379493223333</v>
      </c>
      <c r="I83" s="8"/>
      <c r="K83" s="8"/>
      <c r="O83" s="110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7713.8524521681011</v>
      </c>
      <c r="E84" s="31">
        <f t="shared" si="4"/>
        <v>7713.8531521681007</v>
      </c>
      <c r="F84" s="32">
        <f t="shared" si="5"/>
        <v>49</v>
      </c>
      <c r="G84" s="24" t="str">
        <f t="shared" si="6"/>
        <v xml:space="preserve">Ararat </v>
      </c>
      <c r="H84" s="31">
        <f t="shared" si="7"/>
        <v>2905.7459556620729</v>
      </c>
      <c r="I84" s="8"/>
      <c r="K84" s="8"/>
      <c r="O84" s="110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11062.231051079698</v>
      </c>
      <c r="E85" s="31">
        <f t="shared" si="4"/>
        <v>11062.231761079698</v>
      </c>
      <c r="F85" s="32">
        <f t="shared" si="5"/>
        <v>40</v>
      </c>
      <c r="G85" s="24" t="str">
        <f t="shared" si="6"/>
        <v xml:space="preserve">Mansfield </v>
      </c>
      <c r="H85" s="31">
        <f t="shared" si="7"/>
        <v>2870.8378532144889</v>
      </c>
      <c r="I85" s="8"/>
      <c r="K85" s="8"/>
      <c r="O85" s="110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1098.3859649122808</v>
      </c>
      <c r="E86" s="31">
        <f t="shared" si="4"/>
        <v>1098.3866849122808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2328.4019620498257</v>
      </c>
      <c r="I86" s="8"/>
      <c r="K86" s="8"/>
      <c r="O86" s="110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32553.801107261013</v>
      </c>
      <c r="E87" s="31">
        <f t="shared" si="4"/>
        <v>32553.801837261013</v>
      </c>
      <c r="F87" s="32">
        <f t="shared" si="5"/>
        <v>6</v>
      </c>
      <c r="G87" s="24" t="str">
        <f t="shared" si="6"/>
        <v xml:space="preserve">Pyrenees </v>
      </c>
      <c r="H87" s="31">
        <f t="shared" si="7"/>
        <v>2196.4734138196764</v>
      </c>
      <c r="I87" s="8"/>
      <c r="K87" s="8"/>
      <c r="O87" s="110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32109.700859898217</v>
      </c>
      <c r="E88" s="31">
        <f t="shared" si="4"/>
        <v>32109.701599898217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1891.1854750352168</v>
      </c>
      <c r="I88" s="8"/>
      <c r="K88" s="8"/>
      <c r="O88" s="110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8073.7058451531302</v>
      </c>
      <c r="E89" s="31">
        <f t="shared" si="4"/>
        <v>8073.7065951531304</v>
      </c>
      <c r="F89" s="32">
        <f t="shared" si="5"/>
        <v>48</v>
      </c>
      <c r="G89" s="24" t="str">
        <f t="shared" si="6"/>
        <v xml:space="preserve">Towong </v>
      </c>
      <c r="H89" s="31">
        <f t="shared" si="7"/>
        <v>1845.2248918789044</v>
      </c>
      <c r="I89" s="8"/>
      <c r="K89" s="8"/>
      <c r="O89" s="110" t="s">
        <v>310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25357.278955959355</v>
      </c>
      <c r="E90" s="31">
        <f t="shared" si="4"/>
        <v>25357.279715959354</v>
      </c>
      <c r="F90" s="32">
        <f t="shared" si="5"/>
        <v>16</v>
      </c>
      <c r="G90" s="24" t="str">
        <f t="shared" si="6"/>
        <v xml:space="preserve">Buloke </v>
      </c>
      <c r="H90" s="31">
        <f t="shared" si="7"/>
        <v>1774.9668874172185</v>
      </c>
      <c r="I90" s="8"/>
      <c r="K90" s="8"/>
      <c r="O90" s="110" t="s">
        <v>302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11372.932538379444</v>
      </c>
      <c r="E91" s="31">
        <f t="shared" si="4"/>
        <v>11372.933308379444</v>
      </c>
      <c r="F91" s="32">
        <f t="shared" si="5"/>
        <v>38</v>
      </c>
      <c r="G91" s="24" t="str">
        <f t="shared" si="6"/>
        <v xml:space="preserve">Queenscliffe </v>
      </c>
      <c r="H91" s="31">
        <f t="shared" si="7"/>
        <v>1591.8536133415689</v>
      </c>
      <c r="I91" s="8"/>
      <c r="K91" s="8"/>
      <c r="O91" s="110" t="s">
        <v>301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28913.540908919051</v>
      </c>
      <c r="E92" s="31">
        <f t="shared" si="4"/>
        <v>28913.541688919049</v>
      </c>
      <c r="F92" s="32">
        <f t="shared" si="5"/>
        <v>12</v>
      </c>
      <c r="G92" s="24" t="str">
        <f t="shared" si="6"/>
        <v xml:space="preserve">Hindmarsh </v>
      </c>
      <c r="H92" s="31">
        <f t="shared" si="7"/>
        <v>1552.015830185285</v>
      </c>
      <c r="I92" s="8"/>
      <c r="K92" s="8"/>
      <c r="O92" s="110" t="s">
        <v>306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1891.1854750352168</v>
      </c>
      <c r="E93" s="31">
        <f t="shared" si="4"/>
        <v>1891.1862650352168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1098.3859649122808</v>
      </c>
      <c r="I93" s="8"/>
      <c r="K93" s="8"/>
      <c r="O93" s="110" t="s">
        <v>307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10" t="s">
        <v>287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10" t="s">
        <v>311</v>
      </c>
    </row>
    <row r="96" spans="1:15">
      <c r="O96" s="110"/>
    </row>
    <row r="97" spans="15:15">
      <c r="O97" s="110"/>
    </row>
    <row r="98" spans="15:15">
      <c r="O98" s="110" t="s">
        <v>318</v>
      </c>
    </row>
    <row r="99" spans="15:15">
      <c r="O99" s="110" t="s">
        <v>187</v>
      </c>
    </row>
    <row r="100" spans="15:15">
      <c r="O100" s="110" t="s">
        <v>188</v>
      </c>
    </row>
    <row r="101" spans="15:15">
      <c r="O101" s="110" t="s">
        <v>189</v>
      </c>
    </row>
    <row r="102" spans="15:15">
      <c r="O102" s="110" t="s">
        <v>315</v>
      </c>
    </row>
    <row r="103" spans="15:15">
      <c r="O103" s="110" t="s">
        <v>312</v>
      </c>
    </row>
    <row r="104" spans="15:15">
      <c r="O104" s="110" t="s">
        <v>313</v>
      </c>
    </row>
    <row r="105" spans="15:15">
      <c r="O105" s="110" t="s">
        <v>316</v>
      </c>
    </row>
    <row r="106" spans="15:15">
      <c r="O106" s="110"/>
    </row>
    <row r="107" spans="15:15">
      <c r="O107" s="110"/>
    </row>
    <row r="108" spans="15:15">
      <c r="O108" s="110" t="s">
        <v>299</v>
      </c>
    </row>
    <row r="109" spans="15:15">
      <c r="O109" s="110" t="s">
        <v>337</v>
      </c>
    </row>
    <row r="110" spans="15:15">
      <c r="O110" s="110" t="s">
        <v>334</v>
      </c>
    </row>
    <row r="111" spans="15:15">
      <c r="O111" s="110" t="s">
        <v>335</v>
      </c>
    </row>
    <row r="112" spans="15:15">
      <c r="O112" s="110" t="s">
        <v>336</v>
      </c>
    </row>
    <row r="113" spans="15:15">
      <c r="O113" s="110" t="s">
        <v>274</v>
      </c>
    </row>
    <row r="114" spans="15:15">
      <c r="O114" s="110" t="s">
        <v>261</v>
      </c>
    </row>
    <row r="115" spans="15:15">
      <c r="O115" s="110"/>
    </row>
    <row r="116" spans="15:15">
      <c r="O116" s="110"/>
    </row>
    <row r="117" spans="15:15">
      <c r="O117" s="110"/>
    </row>
    <row r="118" spans="15:15">
      <c r="O118" s="110" t="s">
        <v>235</v>
      </c>
    </row>
    <row r="119" spans="15:15">
      <c r="O119" s="110" t="s">
        <v>275</v>
      </c>
    </row>
    <row r="120" spans="15:15">
      <c r="O120" s="110" t="s">
        <v>292</v>
      </c>
    </row>
    <row r="121" spans="15:15">
      <c r="O121" s="110" t="s">
        <v>293</v>
      </c>
    </row>
    <row r="122" spans="15:15">
      <c r="O122" s="110" t="s">
        <v>339</v>
      </c>
    </row>
    <row r="123" spans="15:15">
      <c r="O123" s="110" t="s">
        <v>136</v>
      </c>
    </row>
    <row r="124" spans="15:15">
      <c r="O124" s="110"/>
    </row>
    <row r="125" spans="15:15">
      <c r="O125" s="110"/>
    </row>
    <row r="126" spans="15:15">
      <c r="O126" s="110"/>
    </row>
    <row r="127" spans="15:15">
      <c r="O127" s="110"/>
    </row>
    <row r="128" spans="15:15">
      <c r="O128" s="110" t="s">
        <v>237</v>
      </c>
    </row>
    <row r="129" spans="15:15">
      <c r="O129" s="110" t="s">
        <v>264</v>
      </c>
    </row>
    <row r="130" spans="15:15">
      <c r="O130" s="110" t="s">
        <v>137</v>
      </c>
    </row>
    <row r="131" spans="15:15">
      <c r="O131" s="110" t="s">
        <v>140</v>
      </c>
    </row>
    <row r="132" spans="15:15">
      <c r="O132" s="110" t="s">
        <v>190</v>
      </c>
    </row>
    <row r="133" spans="15:15">
      <c r="O133" s="110" t="s">
        <v>191</v>
      </c>
    </row>
    <row r="134" spans="15:15">
      <c r="O134" s="110"/>
    </row>
    <row r="135" spans="15:15">
      <c r="O135" s="110"/>
    </row>
    <row r="136" spans="15:15">
      <c r="O136" s="110"/>
    </row>
    <row r="137" spans="15:15">
      <c r="O137" s="110"/>
    </row>
    <row r="138" spans="15:15">
      <c r="O138" s="110" t="s">
        <v>236</v>
      </c>
    </row>
    <row r="139" spans="15:15">
      <c r="O139" s="110" t="s">
        <v>192</v>
      </c>
    </row>
    <row r="140" spans="15:15">
      <c r="O140" s="110" t="s">
        <v>146</v>
      </c>
    </row>
    <row r="141" spans="15:15">
      <c r="O141" s="110" t="s">
        <v>319</v>
      </c>
    </row>
    <row r="142" spans="15:15">
      <c r="O142" s="110" t="s">
        <v>155</v>
      </c>
    </row>
    <row r="143" spans="15:15">
      <c r="O143" s="110" t="s">
        <v>141</v>
      </c>
    </row>
    <row r="144" spans="15:15">
      <c r="O144" s="110" t="s">
        <v>142</v>
      </c>
    </row>
    <row r="145" spans="15:15">
      <c r="O145" s="110" t="s">
        <v>151</v>
      </c>
    </row>
    <row r="146" spans="15:15">
      <c r="O146" s="110"/>
    </row>
    <row r="147" spans="15:15">
      <c r="O147" s="110"/>
    </row>
    <row r="148" spans="15:15">
      <c r="O148" s="110" t="s">
        <v>238</v>
      </c>
    </row>
    <row r="149" spans="15:15">
      <c r="O149" s="110" t="s">
        <v>265</v>
      </c>
    </row>
    <row r="150" spans="15:15">
      <c r="O150" s="110" t="s">
        <v>147</v>
      </c>
    </row>
    <row r="151" spans="15:15">
      <c r="O151" s="110" t="s">
        <v>256</v>
      </c>
    </row>
    <row r="152" spans="15:15">
      <c r="O152" s="112" t="s">
        <v>152</v>
      </c>
    </row>
    <row r="153" spans="15:15">
      <c r="O153" s="110" t="s">
        <v>258</v>
      </c>
    </row>
    <row r="154" spans="15:15">
      <c r="O154" s="110" t="s">
        <v>257</v>
      </c>
    </row>
    <row r="155" spans="15:15">
      <c r="O155" s="110" t="s">
        <v>263</v>
      </c>
    </row>
    <row r="156" spans="15:15">
      <c r="O156" s="110" t="s">
        <v>143</v>
      </c>
    </row>
    <row r="157" spans="15:15">
      <c r="O157" s="110"/>
    </row>
    <row r="158" spans="15:15">
      <c r="O158" s="110" t="s">
        <v>239</v>
      </c>
    </row>
    <row r="159" spans="15:15" ht="16">
      <c r="O159" s="110" t="s">
        <v>286</v>
      </c>
    </row>
    <row r="160" spans="15:15">
      <c r="O160" s="110" t="s">
        <v>157</v>
      </c>
    </row>
    <row r="161" spans="15:15">
      <c r="O161" s="110" t="s">
        <v>193</v>
      </c>
    </row>
    <row r="162" spans="15:15" ht="16">
      <c r="O162" s="110" t="s">
        <v>158</v>
      </c>
    </row>
    <row r="163" spans="15:15">
      <c r="O163" s="110" t="s">
        <v>159</v>
      </c>
    </row>
    <row r="164" spans="15:15" ht="16">
      <c r="O164" s="110" t="s">
        <v>209</v>
      </c>
    </row>
    <row r="165" spans="15:15">
      <c r="O165" s="110" t="s">
        <v>161</v>
      </c>
    </row>
    <row r="166" spans="15:15" ht="16">
      <c r="O166" s="110" t="s">
        <v>210</v>
      </c>
    </row>
    <row r="167" spans="15:15">
      <c r="O167" s="110" t="s">
        <v>160</v>
      </c>
    </row>
    <row r="168" spans="15:15">
      <c r="O168" s="110" t="s">
        <v>162</v>
      </c>
    </row>
    <row r="169" spans="15:15">
      <c r="O169" s="110" t="s">
        <v>164</v>
      </c>
    </row>
    <row r="170" spans="15:15">
      <c r="O170" s="110" t="s">
        <v>163</v>
      </c>
    </row>
    <row r="171" spans="15:15">
      <c r="O171" s="110" t="s">
        <v>194</v>
      </c>
    </row>
    <row r="172" spans="15:15">
      <c r="O172" s="110" t="s">
        <v>195</v>
      </c>
    </row>
    <row r="173" spans="15:15">
      <c r="O173" s="110" t="s">
        <v>196</v>
      </c>
    </row>
    <row r="174" spans="15:15">
      <c r="O174" s="110"/>
    </row>
    <row r="175" spans="15:15">
      <c r="O175" s="110"/>
    </row>
    <row r="176" spans="15:15">
      <c r="O176" s="110"/>
    </row>
    <row r="177" spans="15:15">
      <c r="O177" s="110"/>
    </row>
    <row r="178" spans="15:15">
      <c r="O178" s="110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1" t="s">
        <v>54</v>
      </c>
      <c r="C7" s="121"/>
      <c r="D7" s="121"/>
      <c r="E7" s="121"/>
      <c r="F7" s="121"/>
      <c r="G7" s="121"/>
      <c r="H7" s="121"/>
      <c r="I7" s="121"/>
      <c r="J7" s="121"/>
      <c r="K7" s="121"/>
      <c r="L7" s="2"/>
      <c r="M7" s="2"/>
    </row>
    <row r="8" spans="1:15" ht="12.75" customHeight="1">
      <c r="A8" s="20"/>
      <c r="B8" s="160" t="s">
        <v>49</v>
      </c>
      <c r="C8" s="160"/>
      <c r="D8" s="160"/>
      <c r="E8" s="160"/>
      <c r="F8" s="160"/>
      <c r="G8" s="160"/>
      <c r="H8" s="160"/>
      <c r="I8" s="160"/>
      <c r="J8" s="160"/>
      <c r="K8" s="160"/>
      <c r="L8" s="20"/>
      <c r="M8" s="76"/>
      <c r="N8" s="76"/>
      <c r="O8" s="21"/>
    </row>
    <row r="9" spans="1:15" ht="15" customHeight="1">
      <c r="A9" s="2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20"/>
      <c r="M9" s="76"/>
      <c r="N9" s="76"/>
      <c r="O9" s="107" t="s">
        <v>322</v>
      </c>
    </row>
    <row r="10" spans="1:15" ht="13.5" customHeight="1">
      <c r="A10" s="2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20"/>
      <c r="M10" s="76"/>
      <c r="N10" s="76"/>
      <c r="O10" s="107" t="s">
        <v>305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7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7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7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7" t="s">
        <v>317</v>
      </c>
    </row>
    <row r="15" spans="1:15" ht="12.75" customHeight="1">
      <c r="A15" s="161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7" t="s">
        <v>303</v>
      </c>
    </row>
    <row r="16" spans="1:15" ht="21" customHeight="1">
      <c r="A16" s="16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7" t="s">
        <v>183</v>
      </c>
    </row>
    <row r="17" spans="1:15" ht="21" customHeight="1">
      <c r="A17" s="161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7" t="s">
        <v>304</v>
      </c>
    </row>
    <row r="18" spans="1:15" ht="21" customHeight="1">
      <c r="A18" s="161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7"/>
    </row>
    <row r="19" spans="1:15" ht="21" customHeight="1">
      <c r="A19" s="161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7" t="s">
        <v>199</v>
      </c>
    </row>
    <row r="20" spans="1:15" ht="21" customHeight="1">
      <c r="A20" s="161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7" t="s">
        <v>200</v>
      </c>
    </row>
    <row r="21" spans="1:15" ht="21" customHeight="1">
      <c r="A21" s="161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7" t="s">
        <v>245</v>
      </c>
    </row>
    <row r="22" spans="1:15" ht="21" customHeight="1">
      <c r="A22" s="161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7" t="s">
        <v>246</v>
      </c>
    </row>
    <row r="23" spans="1:15" ht="21" customHeight="1">
      <c r="A23" s="161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7" t="s">
        <v>248</v>
      </c>
    </row>
    <row r="24" spans="1:15" ht="21" customHeight="1">
      <c r="A24" s="161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7" t="s">
        <v>249</v>
      </c>
    </row>
    <row r="25" spans="1:15" ht="21" customHeight="1">
      <c r="A25" s="161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7" t="s">
        <v>250</v>
      </c>
    </row>
    <row r="26" spans="1:15" ht="21" customHeight="1">
      <c r="A26" s="161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7" t="s">
        <v>247</v>
      </c>
    </row>
    <row r="27" spans="1:15" ht="21" customHeight="1">
      <c r="A27" s="161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7"/>
    </row>
    <row r="28" spans="1:15" ht="21" customHeight="1">
      <c r="A28" s="161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7"/>
    </row>
    <row r="29" spans="1:15" ht="21" customHeight="1">
      <c r="A29" s="161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7" t="s">
        <v>266</v>
      </c>
    </row>
    <row r="30" spans="1:15" ht="21" customHeight="1">
      <c r="A30" s="161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7" t="s">
        <v>240</v>
      </c>
    </row>
    <row r="31" spans="1:15" ht="21" customHeight="1">
      <c r="A31" s="161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7" t="s">
        <v>262</v>
      </c>
    </row>
    <row r="32" spans="1:15" ht="21" customHeight="1">
      <c r="A32" s="161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7" t="s">
        <v>179</v>
      </c>
    </row>
    <row r="33" spans="1:15" ht="21" customHeight="1">
      <c r="A33" s="161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7" t="s">
        <v>241</v>
      </c>
    </row>
    <row r="34" spans="1:15" ht="1.5" customHeight="1">
      <c r="A34" s="161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7" t="s">
        <v>242</v>
      </c>
    </row>
    <row r="35" spans="1:15" ht="1.5" customHeight="1">
      <c r="A35" s="161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7" t="s">
        <v>243</v>
      </c>
    </row>
    <row r="36" spans="1:15" ht="1.5" customHeight="1">
      <c r="A36" s="161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7" t="s">
        <v>244</v>
      </c>
    </row>
    <row r="37" spans="1:15" ht="11.25" customHeight="1">
      <c r="A37" s="161"/>
      <c r="B37" s="163" t="str">
        <f>INDEX(O9:O1733,Correlations!C12)</f>
        <v>Per cent of persons 15+ who had left school before finishing yr. 11, 2021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76"/>
      <c r="O37" s="107" t="s">
        <v>323</v>
      </c>
    </row>
    <row r="38" spans="1:15" ht="1.5" customHeight="1">
      <c r="A38" s="20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76"/>
      <c r="O38" s="107"/>
    </row>
    <row r="39" spans="1:15" ht="15.75" customHeight="1">
      <c r="A39" s="76"/>
      <c r="B39" s="162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76"/>
      <c r="O39" s="107" t="s">
        <v>138</v>
      </c>
    </row>
    <row r="40" spans="1:15" ht="15.75" customHeight="1">
      <c r="A40" s="76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76"/>
      <c r="O40" s="107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7" t="s">
        <v>324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7" t="s">
        <v>325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7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7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7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7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7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7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7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7" t="s">
        <v>328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7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7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7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7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7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7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7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7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7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7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7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7" t="s">
        <v>330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7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7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7" t="s">
        <v>333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7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7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7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7" t="s">
        <v>207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7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7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7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7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7" t="s">
        <v>260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7" t="s">
        <v>259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7" t="s">
        <v>320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7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7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7" t="s">
        <v>309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7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7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7" t="s">
        <v>208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7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7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7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7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7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7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7" t="s">
        <v>310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7" t="s">
        <v>302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7" t="s">
        <v>301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7" t="s">
        <v>306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7" t="s">
        <v>307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7" t="s">
        <v>287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7" t="s">
        <v>311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7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7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7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7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7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7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7" t="s">
        <v>315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7" t="s">
        <v>312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7" t="s">
        <v>313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7" t="s">
        <v>316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7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7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7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7" t="s">
        <v>337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7" t="s">
        <v>334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7" t="s">
        <v>335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7" t="s">
        <v>336</v>
      </c>
    </row>
    <row r="113" spans="15:15">
      <c r="O113" s="107" t="s">
        <v>274</v>
      </c>
    </row>
    <row r="114" spans="15:15">
      <c r="O114" s="107" t="s">
        <v>261</v>
      </c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 t="s">
        <v>275</v>
      </c>
    </row>
    <row r="120" spans="15:15">
      <c r="O120" s="107" t="s">
        <v>296</v>
      </c>
    </row>
    <row r="121" spans="15:15">
      <c r="O121" s="107" t="s">
        <v>297</v>
      </c>
    </row>
    <row r="122" spans="15:15">
      <c r="O122" s="107" t="s">
        <v>339</v>
      </c>
    </row>
    <row r="123" spans="15:15">
      <c r="O123" s="108" t="s">
        <v>136</v>
      </c>
    </row>
    <row r="124" spans="15:15">
      <c r="O124" s="108"/>
    </row>
    <row r="125" spans="15:15">
      <c r="O125" s="108"/>
    </row>
    <row r="126" spans="15:15">
      <c r="O126" s="108"/>
    </row>
    <row r="127" spans="15:15">
      <c r="O127" s="108"/>
    </row>
    <row r="128" spans="15:15">
      <c r="O128" s="108"/>
    </row>
    <row r="129" spans="15:15">
      <c r="O129" s="108" t="s">
        <v>264</v>
      </c>
    </row>
    <row r="130" spans="15:15">
      <c r="O130" s="108" t="s">
        <v>137</v>
      </c>
    </row>
    <row r="131" spans="15:15">
      <c r="O131" s="108" t="s">
        <v>276</v>
      </c>
    </row>
    <row r="132" spans="15:15">
      <c r="O132" s="108" t="s">
        <v>190</v>
      </c>
    </row>
    <row r="133" spans="15:15">
      <c r="O133" s="108" t="s">
        <v>267</v>
      </c>
    </row>
    <row r="134" spans="15:15">
      <c r="O134" s="108"/>
    </row>
    <row r="135" spans="15:15">
      <c r="O135" s="108"/>
    </row>
    <row r="136" spans="15:15">
      <c r="O136" s="108"/>
    </row>
    <row r="137" spans="15:15">
      <c r="O137" s="108"/>
    </row>
    <row r="138" spans="15:15">
      <c r="O138" s="108"/>
    </row>
    <row r="139" spans="15:15">
      <c r="O139" s="108" t="s">
        <v>192</v>
      </c>
    </row>
    <row r="140" spans="15:15">
      <c r="O140" s="108" t="s">
        <v>146</v>
      </c>
    </row>
    <row r="141" spans="15:15">
      <c r="O141" s="108" t="s">
        <v>319</v>
      </c>
    </row>
    <row r="142" spans="15:15">
      <c r="O142" s="108" t="s">
        <v>155</v>
      </c>
    </row>
    <row r="143" spans="15:15">
      <c r="O143" s="108" t="s">
        <v>141</v>
      </c>
    </row>
    <row r="144" spans="15:15">
      <c r="O144" s="108" t="s">
        <v>142</v>
      </c>
    </row>
    <row r="145" spans="15:15">
      <c r="O145" s="108" t="s">
        <v>277</v>
      </c>
    </row>
    <row r="146" spans="15:15">
      <c r="O146" s="108"/>
    </row>
    <row r="147" spans="15:15">
      <c r="O147" s="108"/>
    </row>
    <row r="148" spans="15:15">
      <c r="O148" s="108"/>
    </row>
    <row r="149" spans="15:15">
      <c r="O149" s="108" t="s">
        <v>265</v>
      </c>
    </row>
    <row r="150" spans="15:15">
      <c r="O150" s="108" t="s">
        <v>147</v>
      </c>
    </row>
    <row r="151" spans="15:15">
      <c r="O151" s="108" t="s">
        <v>256</v>
      </c>
    </row>
    <row r="152" spans="15:15">
      <c r="O152" s="108" t="s">
        <v>278</v>
      </c>
    </row>
    <row r="153" spans="15:15">
      <c r="O153" s="108" t="s">
        <v>258</v>
      </c>
    </row>
    <row r="154" spans="15:15">
      <c r="O154" s="108" t="s">
        <v>257</v>
      </c>
    </row>
    <row r="155" spans="15:15">
      <c r="O155" s="108" t="s">
        <v>279</v>
      </c>
    </row>
    <row r="156" spans="15:15">
      <c r="O156" s="108" t="s">
        <v>143</v>
      </c>
    </row>
    <row r="157" spans="15:15">
      <c r="O157" s="108"/>
    </row>
    <row r="158" spans="15:15">
      <c r="O158" s="108"/>
    </row>
    <row r="159" spans="15:15">
      <c r="O159" s="108" t="s">
        <v>286</v>
      </c>
    </row>
    <row r="160" spans="15:15">
      <c r="O160" s="108" t="s">
        <v>157</v>
      </c>
    </row>
    <row r="161" spans="15:15">
      <c r="O161" s="108" t="s">
        <v>193</v>
      </c>
    </row>
    <row r="162" spans="15:15">
      <c r="O162" s="108" t="s">
        <v>280</v>
      </c>
    </row>
    <row r="163" spans="15:15">
      <c r="O163" s="108" t="s">
        <v>281</v>
      </c>
    </row>
    <row r="164" spans="15:15">
      <c r="O164" s="108" t="s">
        <v>282</v>
      </c>
    </row>
    <row r="165" spans="15:15">
      <c r="O165" s="108" t="s">
        <v>161</v>
      </c>
    </row>
    <row r="166" spans="15:15">
      <c r="O166" s="108" t="s">
        <v>283</v>
      </c>
    </row>
    <row r="167" spans="15:15">
      <c r="O167" s="108" t="s">
        <v>284</v>
      </c>
    </row>
    <row r="168" spans="15:15">
      <c r="O168" s="108" t="s">
        <v>285</v>
      </c>
    </row>
    <row r="169" spans="15:15">
      <c r="O169" s="108" t="s">
        <v>164</v>
      </c>
    </row>
    <row r="170" spans="15:15">
      <c r="O170" s="108" t="s">
        <v>163</v>
      </c>
    </row>
    <row r="171" spans="15:15">
      <c r="O171" s="108" t="s">
        <v>194</v>
      </c>
    </row>
    <row r="172" spans="15:15">
      <c r="O172" s="108" t="s">
        <v>195</v>
      </c>
    </row>
    <row r="173" spans="15:15">
      <c r="O173" s="108" t="s">
        <v>196</v>
      </c>
    </row>
    <row r="174" spans="15:15">
      <c r="O174" s="108"/>
    </row>
    <row r="175" spans="15:15">
      <c r="O175" s="108"/>
    </row>
    <row r="176" spans="15:15">
      <c r="O176" s="108"/>
    </row>
    <row r="177" spans="15:15">
      <c r="O177" s="108"/>
    </row>
    <row r="178" spans="15:15">
      <c r="O178" s="108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1" t="s">
        <v>52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7">
      <c r="C8" s="3"/>
      <c r="G8" s="8"/>
      <c r="H8" s="8"/>
      <c r="I8" s="8"/>
      <c r="K8" s="8"/>
      <c r="L8" s="8"/>
      <c r="M8" s="131" t="str">
        <f>IF(Community!$K$11=1,CONCATENATE(G12,":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B11" s="102" t="s">
        <v>291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1"/>
      <c r="N11" s="131"/>
    </row>
    <row r="12" spans="1:17" ht="16.5" customHeight="1">
      <c r="B12" s="132" t="str">
        <f>IF(Community!K11=2,"A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</v>
      </c>
      <c r="B13" s="127" t="str">
        <f>'Data 3 Table'!C3</f>
        <v>Population, 2024</v>
      </c>
      <c r="C13" s="127"/>
      <c r="D13" s="127"/>
      <c r="E13" s="127"/>
      <c r="F13" s="127"/>
      <c r="G13" s="130">
        <f>VLOOKUP($H$11,'Data 3 Table'!$A$4:$FZ$84,2+$A13)</f>
        <v>167298</v>
      </c>
      <c r="H13" s="130"/>
      <c r="I13" s="11"/>
      <c r="J13" s="130">
        <f>VLOOKUP($J$11,'Data 3 Table'!$A$4:$FZ$84,2+$A13)</f>
        <v>5256451</v>
      </c>
      <c r="K13" s="130"/>
      <c r="M13" s="80">
        <f t="shared" ref="M13:M22" si="0">(G13-J13)/J13*100</f>
        <v>-96.817282230919687</v>
      </c>
      <c r="N13" s="133" t="str">
        <f>'Data 3 Table'!C85</f>
        <v>Australian Bureau of Statistics, 2025 (update 2025)</v>
      </c>
      <c r="O13" s="133"/>
      <c r="P13" s="133"/>
      <c r="Q13" s="5"/>
    </row>
    <row r="14" spans="1:17" ht="23" customHeight="1">
      <c r="A14" s="10">
        <v>2</v>
      </c>
      <c r="B14" s="123" t="str">
        <f>'Data 3 Table'!D3</f>
        <v>Civic trust - do you feel valued by society?: 'No' or 'not often' 2023</v>
      </c>
      <c r="C14" s="123"/>
      <c r="D14" s="123"/>
      <c r="E14" s="123"/>
      <c r="F14" s="123"/>
      <c r="G14" s="124">
        <f>VLOOKUP($H$11,'Data 3 Table'!$A$4:$FZ$84,2+$A14)</f>
        <v>17.55283</v>
      </c>
      <c r="H14" s="124"/>
      <c r="I14" s="11"/>
      <c r="J14" s="125">
        <f>VLOOKUP($J$11,'Data 3 Table'!$A$4:$FZ$84,2+$A14)</f>
        <v>14.437476033333335</v>
      </c>
      <c r="K14" s="125"/>
      <c r="M14" s="81">
        <f t="shared" si="0"/>
        <v>21.578245113438921</v>
      </c>
      <c r="N14" s="134" t="str">
        <f>'Data 3 Table'!D85</f>
        <v>Victorian Population Health Survey, 2023 (update 2025)</v>
      </c>
      <c r="O14" s="133"/>
      <c r="P14" s="133"/>
      <c r="Q14" s="5"/>
    </row>
    <row r="15" spans="1:17" ht="23" customHeight="1">
      <c r="A15" s="10">
        <v>3</v>
      </c>
      <c r="B15" s="127" t="str">
        <f>'Data 3 Table'!E3</f>
        <v>Per cent of residents who feel that most people could be trusted, 'never' or 'not often', 2020</v>
      </c>
      <c r="C15" s="127"/>
      <c r="D15" s="127"/>
      <c r="E15" s="127"/>
      <c r="F15" s="127"/>
      <c r="G15" s="128">
        <f>VLOOKUP($H$11,'Data 3 Table'!$A$4:$FZ$84,2+$A15)</f>
        <v>22.229109999999999</v>
      </c>
      <c r="H15" s="128"/>
      <c r="I15" s="11"/>
      <c r="J15" s="128">
        <f>VLOOKUP($J$11,'Data 3 Table'!$A$4:$FZ$84,2+$A15)</f>
        <v>13.612406290322577</v>
      </c>
      <c r="K15" s="128"/>
      <c r="M15" s="80">
        <f t="shared" si="0"/>
        <v>63.300371190090523</v>
      </c>
      <c r="N15" s="134" t="str">
        <f>'Data 3 Table'!E85</f>
        <v>Victorian Population Health Survey, 2022 (update 2026)</v>
      </c>
      <c r="O15" s="133"/>
      <c r="P15" s="133"/>
      <c r="Q15" s="5"/>
    </row>
    <row r="16" spans="1:17" ht="23" customHeight="1">
      <c r="A16" s="10">
        <v>4</v>
      </c>
      <c r="B16" s="123" t="str">
        <f>'Data 3 Table'!F3</f>
        <v>Per cent of residents who talk to friends a few times a month or less often, 2020</v>
      </c>
      <c r="C16" s="123"/>
      <c r="D16" s="123"/>
      <c r="E16" s="123"/>
      <c r="F16" s="123"/>
      <c r="G16" s="124">
        <f>VLOOKUP($H$11,'Data 3 Table'!$A$4:$FZ$84,2+$A16)</f>
        <v>16.646132000000001</v>
      </c>
      <c r="H16" s="124"/>
      <c r="I16" s="11"/>
      <c r="J16" s="125">
        <f>VLOOKUP($J$11,'Data 3 Table'!$A$4:$FZ$84,2+$A16)</f>
        <v>18.302908351612906</v>
      </c>
      <c r="K16" s="125"/>
      <c r="M16" s="81">
        <f t="shared" si="0"/>
        <v>-9.0519840879108422</v>
      </c>
      <c r="N16" s="134" t="str">
        <f>'Data 3 Table'!F85</f>
        <v>Victorian Population Health Survey, 2022 (update 2026)</v>
      </c>
      <c r="O16" s="133"/>
      <c r="P16" s="133"/>
    </row>
    <row r="17" spans="1:17" ht="23" customHeight="1">
      <c r="A17" s="10">
        <v>5</v>
      </c>
      <c r="B17" s="127" t="str">
        <f>'Data 3 Table'!G3</f>
        <v>Per cent of residents who have no close friends or family that they talk to regularly 2020</v>
      </c>
      <c r="C17" s="127"/>
      <c r="D17" s="127"/>
      <c r="E17" s="127"/>
      <c r="F17" s="127"/>
      <c r="G17" s="128">
        <f>VLOOKUP($H$11,'Data 3 Table'!$A$4:$FZ$84,2+$A17)</f>
        <v>9.2988350000000004</v>
      </c>
      <c r="H17" s="128"/>
      <c r="I17" s="11"/>
      <c r="J17" s="128">
        <f>VLOOKUP($J$11,'Data 3 Table'!$A$4:$FZ$84,2+$A17)</f>
        <v>4.7193062758620687</v>
      </c>
      <c r="K17" s="128"/>
      <c r="M17" s="80">
        <f t="shared" si="0"/>
        <v>97.038175876843169</v>
      </c>
      <c r="N17" s="134" t="str">
        <f>'Data 3 Table'!G85</f>
        <v>Victorian Population Health Survey, 2022 (update 2026)</v>
      </c>
      <c r="O17" s="133"/>
      <c r="P17" s="133"/>
      <c r="Q17" s="5"/>
    </row>
    <row r="18" spans="1:17" ht="23" customHeight="1">
      <c r="A18" s="10">
        <v>6</v>
      </c>
      <c r="B18" s="122" t="str">
        <f>'Data 3 Table'!H3</f>
        <v>Low level of life satisfaction 2023</v>
      </c>
      <c r="C18" s="123"/>
      <c r="D18" s="123"/>
      <c r="E18" s="123"/>
      <c r="F18" s="123"/>
      <c r="G18" s="124">
        <f>VLOOKUP($H$11,'Data 3 Table'!$A$4:$FZ$84,2+$A18)</f>
        <v>5.3109989999999998</v>
      </c>
      <c r="H18" s="124"/>
      <c r="I18" s="11"/>
      <c r="J18" s="125">
        <f>VLOOKUP($J$11,'Data 3 Table'!$A$4:$FZ$84,2+$A18)</f>
        <v>6.2996936333333338</v>
      </c>
      <c r="K18" s="125"/>
      <c r="M18" s="81">
        <f t="shared" si="0"/>
        <v>-15.694328817863315</v>
      </c>
      <c r="N18" s="134" t="str">
        <f>'Data 3 Table'!H85</f>
        <v>Victorian Population Health Survey, 2023 (update 2025)</v>
      </c>
      <c r="O18" s="133"/>
      <c r="P18" s="133"/>
    </row>
    <row r="19" spans="1:17" ht="23" customHeight="1">
      <c r="A19" s="10">
        <v>7</v>
      </c>
      <c r="B19" s="126" t="str">
        <f>'Data 3 Table'!I3</f>
        <v>Multiculturalism makes life in your area better: 'No' or 'Not often' 2023</v>
      </c>
      <c r="C19" s="127"/>
      <c r="D19" s="127"/>
      <c r="E19" s="127"/>
      <c r="F19" s="127"/>
      <c r="G19" s="128">
        <f>VLOOKUP($H$11,'Data 3 Table'!$A$4:$FZ$84,2+$A19)</f>
        <v>10.294930000000001</v>
      </c>
      <c r="H19" s="128"/>
      <c r="I19" s="11"/>
      <c r="J19" s="128">
        <f>VLOOKUP($J$11,'Data 3 Table'!$A$4:$FZ$84,2+$A19)</f>
        <v>7.1819972333333357</v>
      </c>
      <c r="K19" s="128"/>
      <c r="M19" s="80">
        <f t="shared" si="0"/>
        <v>43.343552852106562</v>
      </c>
      <c r="N19" s="134" t="str">
        <f>'Data 3 Table'!I85</f>
        <v>Victorian Population Health Survey, 2023 (update 2025)</v>
      </c>
      <c r="O19" s="133"/>
      <c r="P19" s="133"/>
    </row>
    <row r="20" spans="1:17" ht="23" customHeight="1">
      <c r="A20" s="10">
        <v>8</v>
      </c>
      <c r="B20" s="122" t="str">
        <f>'Data 3 Table'!J3</f>
        <v>Per cent of residents who engaged in voluntary work in the previous 12 months, 2021</v>
      </c>
      <c r="C20" s="123"/>
      <c r="D20" s="123"/>
      <c r="E20" s="123"/>
      <c r="F20" s="123"/>
      <c r="G20" s="124">
        <f>VLOOKUP($H$11,'Data 3 Table'!$A$4:$FZ$84,2+$A20)</f>
        <v>7.6191411685739077</v>
      </c>
      <c r="H20" s="124"/>
      <c r="I20" s="11"/>
      <c r="J20" s="125">
        <f>VLOOKUP($J$11,'Data 3 Table'!$A$4:$FZ$84,2+$A20)</f>
        <v>12.776822315721633</v>
      </c>
      <c r="K20" s="125"/>
      <c r="M20" s="81">
        <f t="shared" si="0"/>
        <v>-40.367479641642177</v>
      </c>
      <c r="N20" s="134" t="str">
        <f>'Data 3 Table'!J85</f>
        <v>Census 2021 (update 2026)</v>
      </c>
      <c r="O20" s="133"/>
      <c r="P20" s="133"/>
    </row>
    <row r="21" spans="1:17" ht="23" customHeight="1">
      <c r="A21" s="10">
        <v>9</v>
      </c>
      <c r="B21" s="126" t="str">
        <f>'Data 3 Table'!K3</f>
        <v>Experienced discrimination: "In the past 12 months, have you experienced discrimination or have been treated unfairly by others?  2023</v>
      </c>
      <c r="C21" s="127"/>
      <c r="D21" s="127"/>
      <c r="E21" s="127"/>
      <c r="F21" s="127"/>
      <c r="G21" s="128">
        <f>VLOOKUP($H$11,'Data 3 Table'!$A$4:$FZ$84,2+$A21)</f>
        <v>15.488009999999999</v>
      </c>
      <c r="H21" s="128"/>
      <c r="I21" s="11"/>
      <c r="J21" s="128">
        <f>VLOOKUP($J$11,'Data 3 Table'!$A$4:$FZ$84,2+$A21)</f>
        <v>15.944669800000002</v>
      </c>
      <c r="K21" s="128"/>
      <c r="M21" s="80">
        <f t="shared" si="0"/>
        <v>-2.8640279524634766</v>
      </c>
      <c r="N21" s="134" t="str">
        <f>'Data 3 Table'!K85</f>
        <v>Victorian Population Health Survey, 2023 (update 2025)</v>
      </c>
      <c r="O21" s="133"/>
      <c r="P21" s="133"/>
    </row>
    <row r="22" spans="1:17" ht="23" customHeight="1">
      <c r="A22" s="10">
        <v>10</v>
      </c>
      <c r="B22" s="136">
        <f>'Data 3 Table'!L3</f>
        <v>0</v>
      </c>
      <c r="C22" s="137"/>
      <c r="D22" s="137"/>
      <c r="E22" s="137"/>
      <c r="F22" s="137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L22" s="8"/>
      <c r="M22" s="78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IF(Indigenous!$K$11=1,CONCATENATE(G12,":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IF(Indigenous!K11=2,"A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11</v>
      </c>
      <c r="B13" s="127" t="str">
        <f>'Data 3 Table'!M3</f>
        <v>Indigenous population, 2021</v>
      </c>
      <c r="C13" s="127"/>
      <c r="D13" s="127"/>
      <c r="E13" s="127"/>
      <c r="F13" s="127"/>
      <c r="G13" s="130">
        <f>VLOOKUP($H$11,'Data 3 Table'!$A$4:$FZ$84,2+$A13)</f>
        <v>614</v>
      </c>
      <c r="H13" s="130"/>
      <c r="I13" s="82"/>
      <c r="J13" s="130">
        <f>VLOOKUP($J$11,'Data 3 Table'!$A$4:$FZ$84,2+$A13)</f>
        <v>31744</v>
      </c>
      <c r="K13" s="130"/>
      <c r="M13" s="80">
        <f t="shared" ref="M13:M22" si="0">(G13-J13)/J13*100</f>
        <v>-98.065776209677423</v>
      </c>
      <c r="N13" s="133" t="str">
        <f>'Data 3 Table'!M85</f>
        <v>Census 2021 (update 2026)</v>
      </c>
      <c r="O13" s="133"/>
      <c r="P13" s="133"/>
      <c r="Q13" s="5"/>
    </row>
    <row r="14" spans="1:17" ht="23" customHeight="1">
      <c r="A14" s="10">
        <v>12</v>
      </c>
      <c r="B14" s="123" t="str">
        <f>'Data 3 Table'!N3</f>
        <v>Per cent population Indigenous, 2021</v>
      </c>
      <c r="C14" s="123"/>
      <c r="D14" s="123"/>
      <c r="E14" s="123"/>
      <c r="F14" s="123"/>
      <c r="G14" s="124">
        <f>VLOOKUP($H$11,'Data 3 Table'!$A$4:$FZ$84,2+$A14)</f>
        <v>0.40859513811713505</v>
      </c>
      <c r="H14" s="124"/>
      <c r="I14" s="11"/>
      <c r="J14" s="125">
        <f>VLOOKUP($J$11,'Data 3 Table'!$A$4:$FZ$84,2+$A14)</f>
        <v>0.7</v>
      </c>
      <c r="K14" s="125"/>
      <c r="M14" s="81">
        <f t="shared" si="0"/>
        <v>-41.629265983266414</v>
      </c>
      <c r="N14" s="134" t="str">
        <f>'Data 3 Table'!N85</f>
        <v>Census 2021 (update 2026)</v>
      </c>
      <c r="O14" s="133"/>
      <c r="P14" s="133"/>
      <c r="Q14" s="5"/>
    </row>
    <row r="15" spans="1:17" ht="23" customHeight="1">
      <c r="A15" s="10">
        <v>13</v>
      </c>
      <c r="B15" s="127" t="str">
        <f>'Data 3 Table'!O3</f>
        <v>Per cent of Indigenous people aged 15+, who left school before completing year 11, 2021</v>
      </c>
      <c r="C15" s="127"/>
      <c r="D15" s="127"/>
      <c r="E15" s="127"/>
      <c r="F15" s="127"/>
      <c r="G15" s="128">
        <f>VLOOKUP($H$11,'Data 3 Table'!$A$4:$FZ$84,2+$A15)</f>
        <v>43.781094527363187</v>
      </c>
      <c r="H15" s="128"/>
      <c r="I15" s="11"/>
      <c r="J15" s="128">
        <f>VLOOKUP($J$11,'Data 3 Table'!$A$4:$FZ$84,2+$A15)</f>
        <v>35.217370601399935</v>
      </c>
      <c r="K15" s="128"/>
      <c r="M15" s="80">
        <f t="shared" si="0"/>
        <v>24.316761245153359</v>
      </c>
      <c r="N15" s="134" t="str">
        <f>'Data 3 Table'!O85</f>
        <v>Census 2021 (update 2026)</v>
      </c>
      <c r="O15" s="133"/>
      <c r="P15" s="133"/>
      <c r="Q15" s="5"/>
    </row>
    <row r="16" spans="1:17" ht="23" customHeight="1">
      <c r="A16" s="10">
        <v>14</v>
      </c>
      <c r="B16" s="123" t="str">
        <f>'Data 3 Table'!P3</f>
        <v>Percent of Indigenous people aged 15+, who hold a degree, 2021</v>
      </c>
      <c r="C16" s="123"/>
      <c r="D16" s="123"/>
      <c r="E16" s="123"/>
      <c r="F16" s="123"/>
      <c r="G16" s="124">
        <f>VLOOKUP($H$11,'Data 3 Table'!$A$4:$FZ$84,2+$A16)</f>
        <v>3.33889816360601</v>
      </c>
      <c r="H16" s="124"/>
      <c r="I16" s="11"/>
      <c r="J16" s="125">
        <f>VLOOKUP($J$11,'Data 3 Table'!$A$4:$FZ$84,2+$A16)</f>
        <v>13.4</v>
      </c>
      <c r="K16" s="125"/>
      <c r="M16" s="81">
        <f t="shared" si="0"/>
        <v>-75.082849525328285</v>
      </c>
      <c r="N16" s="134" t="str">
        <f>'Data 3 Table'!P85</f>
        <v>Census 2021 (update 2026)</v>
      </c>
      <c r="O16" s="133"/>
      <c r="P16" s="133"/>
    </row>
    <row r="17" spans="1:17" ht="23" customHeight="1">
      <c r="A17" s="10">
        <v>15</v>
      </c>
      <c r="B17" s="127" t="str">
        <f>'Data 3 Table'!Q3</f>
        <v>Per cent of Indigenous people who are living in a rented dwelling, 2021</v>
      </c>
      <c r="C17" s="127"/>
      <c r="D17" s="127"/>
      <c r="E17" s="127"/>
      <c r="F17" s="127"/>
      <c r="G17" s="128">
        <f>VLOOKUP($H$11,'Data 3 Table'!$A$4:$FZ$84,2+$A17)</f>
        <v>71.13095238095238</v>
      </c>
      <c r="H17" s="128"/>
      <c r="I17" s="82"/>
      <c r="J17" s="128">
        <f>VLOOKUP($J$11,'Data 3 Table'!$A$4:$FZ$84,2+$A17)</f>
        <v>54.444508041897997</v>
      </c>
      <c r="K17" s="128"/>
      <c r="M17" s="80">
        <f t="shared" si="0"/>
        <v>30.648535433938097</v>
      </c>
      <c r="N17" s="134" t="str">
        <f>'Data 3 Table'!Q85</f>
        <v>Census 2021 (update 2026)</v>
      </c>
      <c r="O17" s="133"/>
      <c r="P17" s="133"/>
      <c r="Q17" s="5"/>
    </row>
    <row r="18" spans="1:17" ht="23" customHeight="1">
      <c r="A18" s="10">
        <v>16</v>
      </c>
      <c r="B18" s="122" t="str">
        <f>'Data 3 Table'!R3</f>
        <v>Per cent of Indigenous families with children, that are single parent families, 2021</v>
      </c>
      <c r="C18" s="123"/>
      <c r="D18" s="123"/>
      <c r="E18" s="123"/>
      <c r="F18" s="123"/>
      <c r="G18" s="124">
        <f>VLOOKUP($H$11,'Data 3 Table'!$A$4:$FZ$84,2+$A18)</f>
        <v>62.5</v>
      </c>
      <c r="H18" s="124"/>
      <c r="I18" s="11"/>
      <c r="J18" s="125">
        <f>VLOOKUP($J$11,'Data 3 Table'!$A$4:$FZ$84,2+$A18)</f>
        <v>43.52080989876265</v>
      </c>
      <c r="K18" s="125"/>
      <c r="M18" s="81">
        <f t="shared" si="0"/>
        <v>43.609459808736126</v>
      </c>
      <c r="N18" s="134" t="str">
        <f>'Data 3 Table'!R85</f>
        <v>Census 2021 (update 2026)</v>
      </c>
      <c r="O18" s="133"/>
      <c r="P18" s="133"/>
    </row>
    <row r="19" spans="1:17" ht="23" customHeight="1">
      <c r="A19" s="10">
        <v>17</v>
      </c>
      <c r="B19" s="126" t="str">
        <f>'Data 3 Table'!S3</f>
        <v>Unemployment rate among Indigenous persons, 2021</v>
      </c>
      <c r="C19" s="127"/>
      <c r="D19" s="127"/>
      <c r="E19" s="127"/>
      <c r="F19" s="127"/>
      <c r="G19" s="128">
        <f>VLOOKUP($H$11,'Data 3 Table'!$A$4:$FZ$84,2+$A19)</f>
        <v>15.228426395939088</v>
      </c>
      <c r="H19" s="128"/>
      <c r="I19" s="11"/>
      <c r="J19" s="128">
        <f>VLOOKUP($J$11,'Data 3 Table'!$A$4:$FZ$84,2+$A19)</f>
        <v>8.6</v>
      </c>
      <c r="K19" s="128"/>
      <c r="M19" s="80">
        <f t="shared" si="0"/>
        <v>77.074725534175457</v>
      </c>
      <c r="N19" s="134" t="str">
        <f>'Data 3 Table'!S85</f>
        <v>Census 2021 (update 2026)</v>
      </c>
      <c r="O19" s="133"/>
      <c r="P19" s="133"/>
    </row>
    <row r="20" spans="1:17" ht="23" customHeight="1">
      <c r="A20" s="10">
        <v>18</v>
      </c>
      <c r="B20" s="122" t="str">
        <f>'Data 3 Table'!T3</f>
        <v>Median personal gross weekly income, Indigenous persons aged 15+, 2021</v>
      </c>
      <c r="C20" s="123"/>
      <c r="D20" s="123"/>
      <c r="E20" s="123"/>
      <c r="F20" s="123"/>
      <c r="G20" s="141">
        <f>VLOOKUP($H$11,'Data 3 Table'!$A$4:$FZ$84,2+$A20)</f>
        <v>489</v>
      </c>
      <c r="H20" s="141"/>
      <c r="I20" s="11"/>
      <c r="J20" s="142">
        <f>VLOOKUP($J$11,'Data 3 Table'!$A$4:$FZ$84,2+$A20)</f>
        <v>694</v>
      </c>
      <c r="K20" s="142"/>
      <c r="M20" s="81">
        <f t="shared" si="0"/>
        <v>-29.538904899135449</v>
      </c>
      <c r="N20" s="134" t="str">
        <f>'Data 3 Table'!T85</f>
        <v>Census 2021 (update 2026)</v>
      </c>
      <c r="O20" s="133"/>
      <c r="P20" s="133"/>
    </row>
    <row r="21" spans="1:17" ht="23" customHeight="1">
      <c r="A21" s="10">
        <v>19</v>
      </c>
      <c r="B21" s="136" t="str">
        <f>'Data 3 Table'!K3</f>
        <v>Experienced discrimination: "In the past 12 months, have you experienced discrimination or have been treated unfairly by others?  2023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8"/>
      <c r="J21" s="138">
        <f>VLOOKUP($J$11,'Data 3 Table'!$A$4:$FZ$84,2+$A21)</f>
        <v>0</v>
      </c>
      <c r="K21" s="138"/>
      <c r="M21" s="27" t="e">
        <f t="shared" si="0"/>
        <v>#DIV/0!</v>
      </c>
      <c r="N21" s="139"/>
      <c r="O21" s="139"/>
      <c r="P21" s="139"/>
    </row>
    <row r="22" spans="1:17" ht="23" customHeight="1">
      <c r="A22" s="10">
        <v>20</v>
      </c>
      <c r="B22" s="136">
        <f>'Data 3 Table'!L3</f>
        <v>0</v>
      </c>
      <c r="C22" s="137"/>
      <c r="D22" s="137"/>
      <c r="E22" s="137"/>
      <c r="F22" s="137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213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IF('Cultural diversity'!$K$11=1,CONCATENATE(G12,":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IF('Cultural diversity'!K11=2,"A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21</v>
      </c>
      <c r="B13" s="127" t="str">
        <f>'Data 3 Table'!W3</f>
        <v>Population born overseas, 2021</v>
      </c>
      <c r="C13" s="127"/>
      <c r="D13" s="127"/>
      <c r="E13" s="127"/>
      <c r="F13" s="127"/>
      <c r="G13" s="130">
        <f>VLOOKUP($H$11,'Data 3 Table'!$A$4:$FZ$84,2+$A13)</f>
        <v>92020</v>
      </c>
      <c r="H13" s="130"/>
      <c r="I13" s="11"/>
      <c r="J13" s="130">
        <f>VLOOKUP($J$11,'Data 3 Table'!$A$4:$FZ$84,2+$A13)</f>
        <v>1755628</v>
      </c>
      <c r="K13" s="130"/>
      <c r="M13" s="80">
        <f t="shared" ref="M13:M22" si="0">(G13-J13)/J13*100</f>
        <v>-94.758570722271457</v>
      </c>
      <c r="N13" s="133" t="str">
        <f>'Data 3 Table'!W85</f>
        <v>Census 2021 (update 2026)</v>
      </c>
      <c r="O13" s="133"/>
      <c r="P13" s="133"/>
      <c r="Q13" s="5"/>
    </row>
    <row r="14" spans="1:17" ht="23" customHeight="1">
      <c r="A14" s="10">
        <v>22</v>
      </c>
      <c r="B14" s="123" t="str">
        <f>'Data 3 Table'!X3</f>
        <v>Per cent of residents born overseas, 2021</v>
      </c>
      <c r="C14" s="123"/>
      <c r="D14" s="123"/>
      <c r="E14" s="123"/>
      <c r="F14" s="123"/>
      <c r="G14" s="124">
        <f>VLOOKUP($H$11,'Data 3 Table'!$A$4:$FZ$84,2+$A14)</f>
        <v>61.358120182434057</v>
      </c>
      <c r="H14" s="124"/>
      <c r="I14" s="11"/>
      <c r="J14" s="125">
        <f>VLOOKUP($J$11,'Data 3 Table'!$A$4:$FZ$84,2+$A14)</f>
        <v>37.331713865354935</v>
      </c>
      <c r="K14" s="125"/>
      <c r="M14" s="81">
        <f t="shared" si="0"/>
        <v>64.359237306210105</v>
      </c>
      <c r="N14" s="134" t="str">
        <f>'Data 3 Table'!X85</f>
        <v>Census 2021 (update 2026)</v>
      </c>
      <c r="O14" s="133"/>
      <c r="P14" s="133"/>
      <c r="Q14" s="5"/>
    </row>
    <row r="15" spans="1:17" ht="23" customHeight="1">
      <c r="A15" s="10">
        <v>23</v>
      </c>
      <c r="B15" s="127" t="str">
        <f>'Data 3 Table'!Y3</f>
        <v>Per cent of residents who speak languages other than English at home, 2021</v>
      </c>
      <c r="C15" s="127"/>
      <c r="D15" s="127"/>
      <c r="E15" s="127"/>
      <c r="F15" s="127"/>
      <c r="G15" s="128">
        <f>VLOOKUP($H$11,'Data 3 Table'!$A$4:$FZ$84,2+$A15)</f>
        <v>68.717232444687355</v>
      </c>
      <c r="H15" s="128"/>
      <c r="I15" s="11"/>
      <c r="J15" s="128">
        <f>VLOOKUP($J$11,'Data 3 Table'!$A$4:$FZ$84,2+$A15)</f>
        <v>35.860525267540865</v>
      </c>
      <c r="K15" s="128"/>
      <c r="M15" s="80">
        <f t="shared" si="0"/>
        <v>91.62360822106173</v>
      </c>
      <c r="N15" s="134" t="str">
        <f>'Data 3 Table'!Y85</f>
        <v>Census 2021 (update 2026)</v>
      </c>
      <c r="O15" s="133"/>
      <c r="P15" s="133"/>
      <c r="Q15" s="5"/>
    </row>
    <row r="16" spans="1:17" ht="23" customHeight="1">
      <c r="A16" s="10">
        <v>24</v>
      </c>
      <c r="B16" s="123" t="str">
        <f>'Data 3 Table'!Z3</f>
        <v>Per cent of residents who speak English 'not well' or ' not at all', 2021</v>
      </c>
      <c r="C16" s="123"/>
      <c r="D16" s="123"/>
      <c r="E16" s="123"/>
      <c r="F16" s="123"/>
      <c r="G16" s="143">
        <f>VLOOKUP($H$11,'Data 3 Table'!$A$4:$FZ$84,2+$A16)</f>
        <v>14.378539644012944</v>
      </c>
      <c r="H16" s="143"/>
      <c r="I16" s="82"/>
      <c r="J16" s="144">
        <f>VLOOKUP($J$11,'Data 3 Table'!$A$4:$FZ$84,2+$A16)</f>
        <v>4.4758680290783381</v>
      </c>
      <c r="K16" s="144"/>
      <c r="M16" s="81">
        <f t="shared" si="0"/>
        <v>221.24583545806072</v>
      </c>
      <c r="N16" s="134" t="str">
        <f>'Data 3 Table'!Z85</f>
        <v>Census 2021 (update 2026)</v>
      </c>
      <c r="O16" s="133"/>
      <c r="P16" s="133"/>
    </row>
    <row r="17" spans="1:17" ht="23" customHeight="1">
      <c r="A17" s="10">
        <v>25</v>
      </c>
      <c r="B17" s="145" t="str">
        <f>'Data 3 Table'!AA3</f>
        <v>Humanitarian settlement, 2024/25</v>
      </c>
      <c r="C17" s="127"/>
      <c r="D17" s="127"/>
      <c r="E17" s="127"/>
      <c r="F17" s="127"/>
      <c r="G17" s="130">
        <f>VLOOKUP($H$11,'Data 3 Table'!$A$4:$FZ$84,2+$A17)</f>
        <v>1470</v>
      </c>
      <c r="H17" s="130"/>
      <c r="I17" s="82"/>
      <c r="J17" s="130">
        <f>VLOOKUP($J$11,'Data 3 Table'!$A$4:$FZ$84,2+$A17)</f>
        <v>8575</v>
      </c>
      <c r="K17" s="130"/>
      <c r="M17" s="80">
        <f t="shared" si="0"/>
        <v>-82.857142857142861</v>
      </c>
      <c r="N17" s="134" t="str">
        <f>'Data 3 Table'!AA85</f>
        <v>Dept. Home Affairs, 2025 (update 2026)</v>
      </c>
      <c r="O17" s="133"/>
      <c r="P17" s="133"/>
      <c r="Q17" s="5"/>
    </row>
    <row r="18" spans="1:17" ht="23" customHeight="1">
      <c r="A18" s="10">
        <v>26</v>
      </c>
      <c r="B18" s="146" t="str">
        <f>'Data 3 Table'!AB3</f>
        <v>Family settlement, 2024/25</v>
      </c>
      <c r="C18" s="123"/>
      <c r="D18" s="123"/>
      <c r="E18" s="123"/>
      <c r="F18" s="123"/>
      <c r="G18" s="147">
        <f>VLOOKUP($H$11,'Data 3 Table'!$A$4:$FZ$84,2+$A18)</f>
        <v>1387</v>
      </c>
      <c r="H18" s="147"/>
      <c r="I18" s="82"/>
      <c r="J18" s="148">
        <f>VLOOKUP($J$11,'Data 3 Table'!$A$4:$FZ$84,2+$A18)</f>
        <v>16315</v>
      </c>
      <c r="K18" s="148"/>
      <c r="M18" s="81">
        <f t="shared" si="0"/>
        <v>-91.498620901011336</v>
      </c>
      <c r="N18" s="134" t="str">
        <f>'Data 3 Table'!AB85</f>
        <v>Dept. Home Affairs, 2025 (update 2026)</v>
      </c>
      <c r="O18" s="133"/>
      <c r="P18" s="133"/>
    </row>
    <row r="19" spans="1:17" ht="23" customHeight="1">
      <c r="A19" s="10">
        <v>27</v>
      </c>
      <c r="B19" s="149" t="str">
        <f>'Data 3 Table'!AC3</f>
        <v>Skilled settlement, 2024/25</v>
      </c>
      <c r="C19" s="127"/>
      <c r="D19" s="127"/>
      <c r="E19" s="127"/>
      <c r="F19" s="127"/>
      <c r="G19" s="130">
        <f>VLOOKUP($H$11,'Data 3 Table'!$A$4:$FZ$84,2+$A19)</f>
        <v>2078</v>
      </c>
      <c r="H19" s="130"/>
      <c r="I19" s="82"/>
      <c r="J19" s="130">
        <f>VLOOKUP($J$11,'Data 3 Table'!$A$4:$FZ$84,2+$A19)</f>
        <v>51384</v>
      </c>
      <c r="K19" s="130"/>
      <c r="M19" s="80">
        <f t="shared" si="0"/>
        <v>-95.955939592090928</v>
      </c>
      <c r="N19" s="134" t="str">
        <f>'Data 3 Table'!AC85</f>
        <v>Dept. Home Affairs, 2025 (update 2026)</v>
      </c>
      <c r="O19" s="133"/>
      <c r="P19" s="133"/>
    </row>
    <row r="20" spans="1:17" ht="23" customHeight="1">
      <c r="A20" s="10">
        <v>28</v>
      </c>
      <c r="B20" s="146" t="str">
        <f>'Data 3 Table'!AD3</f>
        <v>Total settlement, 2024/25</v>
      </c>
      <c r="C20" s="123"/>
      <c r="D20" s="123"/>
      <c r="E20" s="123"/>
      <c r="F20" s="123"/>
      <c r="G20" s="147">
        <f>VLOOKUP($H$11,'Data 3 Table'!$A$4:$FZ$84,2+$A20)</f>
        <v>4935</v>
      </c>
      <c r="H20" s="147"/>
      <c r="I20" s="82"/>
      <c r="J20" s="148">
        <f>VLOOKUP($J$11,'Data 3 Table'!$A$4:$FZ$84,2+$A20)</f>
        <v>76274</v>
      </c>
      <c r="K20" s="148"/>
      <c r="M20" s="81">
        <f t="shared" si="0"/>
        <v>-93.52990534126964</v>
      </c>
      <c r="N20" s="134" t="str">
        <f>'Data 3 Table'!AD85</f>
        <v>Dept. Home Affairs, 2025 (update 2026)</v>
      </c>
      <c r="O20" s="133"/>
      <c r="P20" s="133"/>
    </row>
    <row r="21" spans="1:17" ht="23" customHeight="1">
      <c r="A21" s="10">
        <v>29</v>
      </c>
      <c r="B21" s="149" t="str">
        <f>'Data 3 Table'!AE3</f>
        <v>Number of asylum seekers, 2025</v>
      </c>
      <c r="C21" s="127"/>
      <c r="D21" s="127"/>
      <c r="E21" s="127"/>
      <c r="F21" s="127"/>
      <c r="G21" s="130">
        <f>VLOOKUP($H$11,'Data 3 Table'!$A$4:$FZ$84,2+$A21)</f>
        <v>560.63548973759418</v>
      </c>
      <c r="H21" s="130"/>
      <c r="I21" s="82"/>
      <c r="J21" s="130">
        <f>VLOOKUP($J$11,'Data 3 Table'!$A$4:$FZ$84,2+$A21)</f>
        <v>3163.7337430138004</v>
      </c>
      <c r="K21" s="130"/>
      <c r="M21" s="80">
        <f t="shared" si="0"/>
        <v>-82.279308713143223</v>
      </c>
      <c r="N21" s="133" t="str">
        <f>'Data 3 Table'!AE85</f>
        <v>Dept. Home Affairs, 2025 (update 2026)</v>
      </c>
      <c r="O21" s="133"/>
      <c r="P21" s="133"/>
    </row>
    <row r="22" spans="1:17" ht="23" customHeight="1">
      <c r="A22" s="10">
        <v>30</v>
      </c>
      <c r="B22" s="150">
        <f>'Data 3 Table'!AF3</f>
        <v>0</v>
      </c>
      <c r="C22" s="137"/>
      <c r="D22" s="137"/>
      <c r="E22" s="137"/>
      <c r="F22" s="137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IF(Education!$K$11=1,CONCATENATE(G12,":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IF(Education!K11=2,"A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31</v>
      </c>
      <c r="B13" s="127" t="str">
        <f>'Data 3 Table'!AG3</f>
        <v>Per cent prep pupils who had not attended pre-school before their first year at school: 2021</v>
      </c>
      <c r="C13" s="127"/>
      <c r="D13" s="127"/>
      <c r="E13" s="127"/>
      <c r="F13" s="127"/>
      <c r="G13" s="128">
        <f>VLOOKUP($H$11,'Data 3 Table'!$A$4:$FZ$84,2+$A13)</f>
        <v>6.7</v>
      </c>
      <c r="H13" s="128"/>
      <c r="I13" s="11"/>
      <c r="J13" s="128">
        <f>VLOOKUP($J$11,'Data 3 Table'!$A$4:$FZ$84,2+$A13)</f>
        <v>3.787096774193548</v>
      </c>
      <c r="K13" s="128"/>
      <c r="M13" s="80">
        <f t="shared" ref="M13:M22" si="0">(G13-J13)/J13*100</f>
        <v>76.916524701873954</v>
      </c>
      <c r="N13" s="133" t="str">
        <f>'Data 3 Table'!AG85</f>
        <v>Census 2021 (update 2026)</v>
      </c>
      <c r="O13" s="133"/>
      <c r="P13" s="133"/>
      <c r="Q13" s="5"/>
    </row>
    <row r="14" spans="1:17" ht="23" customHeight="1">
      <c r="A14" s="10">
        <v>32</v>
      </c>
      <c r="B14" s="123" t="str">
        <f>'Data 3 Table'!AH3</f>
        <v>Per cent of prep. pupils developmentally vulnerable in 2 or more domains, 2024</v>
      </c>
      <c r="C14" s="123"/>
      <c r="D14" s="123"/>
      <c r="E14" s="123"/>
      <c r="F14" s="123"/>
      <c r="G14" s="124">
        <f>VLOOKUP($H$11,'Data 3 Table'!$A$4:$FZ$84,2+$A14)</f>
        <v>16.100000000000001</v>
      </c>
      <c r="H14" s="124"/>
      <c r="I14" s="11"/>
      <c r="J14" s="125">
        <f>VLOOKUP($J$11,'Data 3 Table'!$A$4:$FZ$84,2+$A14)</f>
        <v>9.9066666666666681</v>
      </c>
      <c r="K14" s="125"/>
      <c r="M14" s="81">
        <f t="shared" si="0"/>
        <v>62.516823687752343</v>
      </c>
      <c r="N14" s="134" t="str">
        <f>'Data 3 Table'!AH85</f>
        <v>Aus. Childhood Census 2024 (update 2027)</v>
      </c>
      <c r="O14" s="133"/>
      <c r="P14" s="133"/>
      <c r="Q14" s="5"/>
    </row>
    <row r="15" spans="1:17" ht="23" customHeight="1">
      <c r="A15" s="10">
        <v>33</v>
      </c>
      <c r="B15" s="127" t="str">
        <f>'Data 3 Table'!AI3</f>
        <v>Per cent of year 9 pupils that did not meet national literacy benchmarks: 2023</v>
      </c>
      <c r="C15" s="127"/>
      <c r="D15" s="127"/>
      <c r="E15" s="127"/>
      <c r="F15" s="127"/>
      <c r="G15" s="128">
        <f>VLOOKUP($H$11,'Data 3 Table'!$A$4:$FZ$84,2+$A15)</f>
        <v>41.706412294647585</v>
      </c>
      <c r="H15" s="128"/>
      <c r="I15" s="11"/>
      <c r="J15" s="128">
        <f>VLOOKUP($J$11,'Data 3 Table'!$A$4:$FZ$84,2+$A15)</f>
        <v>29.31144693030982</v>
      </c>
      <c r="K15" s="128"/>
      <c r="M15" s="80">
        <f t="shared" si="0"/>
        <v>42.287115316441835</v>
      </c>
      <c r="N15" s="134" t="str">
        <f>'Data 3 Table'!AI85</f>
        <v>Victorian Dept. Education and Training, 2025 (update undetermined)</v>
      </c>
      <c r="O15" s="133"/>
      <c r="P15" s="133"/>
      <c r="Q15" s="5"/>
    </row>
    <row r="16" spans="1:17" ht="23" customHeight="1">
      <c r="A16" s="10">
        <v>34</v>
      </c>
      <c r="B16" s="123" t="str">
        <f>'Data 3 Table'!AJ3</f>
        <v>Per cent of year 9 pupils that did not meet national numeracy benchmarks: 2023</v>
      </c>
      <c r="C16" s="123"/>
      <c r="D16" s="123"/>
      <c r="E16" s="123"/>
      <c r="F16" s="123"/>
      <c r="G16" s="124">
        <f>VLOOKUP($H$11,'Data 3 Table'!$A$4:$FZ$84,2+$A16)</f>
        <v>40.547798066595064</v>
      </c>
      <c r="H16" s="124"/>
      <c r="I16" s="11"/>
      <c r="J16" s="125">
        <f>VLOOKUP($J$11,'Data 3 Table'!$A$4:$FZ$84,2+$A16)</f>
        <v>29.173404373348944</v>
      </c>
      <c r="K16" s="125"/>
      <c r="M16" s="81">
        <f t="shared" si="0"/>
        <v>38.988914518447757</v>
      </c>
      <c r="N16" s="134" t="str">
        <f>'Data 3 Table'!AJ85</f>
        <v>Victorian Dept. Education and Training, 2025</v>
      </c>
      <c r="O16" s="133"/>
      <c r="P16" s="133"/>
    </row>
    <row r="17" spans="1:17" ht="23" customHeight="1">
      <c r="A17" s="10">
        <v>35</v>
      </c>
      <c r="B17" s="127" t="str">
        <f>'Data 3 Table'!AK3</f>
        <v>Per cent of  20-24 year olds who left school before completing year 11, 2021</v>
      </c>
      <c r="C17" s="127"/>
      <c r="D17" s="127"/>
      <c r="E17" s="127"/>
      <c r="F17" s="127"/>
      <c r="G17" s="128">
        <f>VLOOKUP($H$11,'Data 3 Table'!$A$4:$FZ$84,2+$A17)</f>
        <v>8.1360390830514842</v>
      </c>
      <c r="H17" s="128"/>
      <c r="I17" s="11"/>
      <c r="J17" s="128">
        <f>VLOOKUP($J$11,'Data 3 Table'!$A$4:$FZ$84,2+$A17)</f>
        <v>6.3273493484426542</v>
      </c>
      <c r="K17" s="128"/>
      <c r="M17" s="80">
        <f t="shared" si="0"/>
        <v>28.5852674636023</v>
      </c>
      <c r="N17" s="134" t="str">
        <f>'Data 3 Table'!AK85</f>
        <v>Census 2021 (update 2026)</v>
      </c>
      <c r="O17" s="133"/>
      <c r="P17" s="133"/>
      <c r="Q17" s="5"/>
    </row>
    <row r="18" spans="1:17" ht="23" customHeight="1">
      <c r="A18" s="10">
        <v>36</v>
      </c>
      <c r="B18" s="122" t="str">
        <f>'Data 3 Table'!AL3</f>
        <v>Per cent of persons 15+ who had left school before finishing yr. 11, 2021</v>
      </c>
      <c r="C18" s="123"/>
      <c r="D18" s="123"/>
      <c r="E18" s="123"/>
      <c r="F18" s="123"/>
      <c r="G18" s="124">
        <f>VLOOKUP($H$11,'Data 3 Table'!$A$4:$FZ$84,2+$A18)</f>
        <v>30.634307867581366</v>
      </c>
      <c r="H18" s="124"/>
      <c r="I18" s="11"/>
      <c r="J18" s="125">
        <f>VLOOKUP($J$11,'Data 3 Table'!$A$4:$FZ$84,2+$A18)</f>
        <v>21.084410893318612</v>
      </c>
      <c r="K18" s="125"/>
      <c r="M18" s="81">
        <f t="shared" si="0"/>
        <v>45.293639089954361</v>
      </c>
      <c r="N18" s="134" t="str">
        <f>'Data 3 Table'!AL85</f>
        <v>Census 2021 (update 2026)</v>
      </c>
      <c r="O18" s="133"/>
      <c r="P18" s="133"/>
    </row>
    <row r="19" spans="1:17" ht="23" customHeight="1">
      <c r="A19" s="10">
        <v>37</v>
      </c>
      <c r="B19" s="127" t="str">
        <f>'Data 3 Table'!AM3</f>
        <v>Per cent 20-24 year olds not in paid employment or enrolled in formal education, 2021</v>
      </c>
      <c r="C19" s="127"/>
      <c r="D19" s="127"/>
      <c r="E19" s="127"/>
      <c r="F19" s="127"/>
      <c r="G19" s="128">
        <f>VLOOKUP($H$11,'Data 3 Table'!$A$4:$FZ$84,2+$A19)</f>
        <v>13.187019320952917</v>
      </c>
      <c r="H19" s="128"/>
      <c r="I19" s="11"/>
      <c r="J19" s="128">
        <f>VLOOKUP($J$11,'Data 3 Table'!$A$4:$FZ$84,2+$A19)</f>
        <v>9.4889317053000841</v>
      </c>
      <c r="K19" s="128"/>
      <c r="M19" s="80">
        <f t="shared" si="0"/>
        <v>38.972644450452201</v>
      </c>
      <c r="N19" s="134" t="str">
        <f>'Data 3 Table'!AM85</f>
        <v>Census 2021 (update 2026)</v>
      </c>
      <c r="O19" s="133"/>
      <c r="P19" s="133"/>
    </row>
    <row r="20" spans="1:17" ht="23" customHeight="1">
      <c r="A20" s="10">
        <v>38</v>
      </c>
      <c r="B20" s="122" t="str">
        <f>'Data 3 Table'!AN3</f>
        <v>Per cent of 20-24 year-olds in tertiary education, 2021</v>
      </c>
      <c r="C20" s="122"/>
      <c r="D20" s="122"/>
      <c r="E20" s="122"/>
      <c r="F20" s="122"/>
      <c r="G20" s="124">
        <f>VLOOKUP($H$11,'Data 3 Table'!$A$4:$FZ$84,2+$A20)</f>
        <v>47.088418894996735</v>
      </c>
      <c r="H20" s="124"/>
      <c r="I20" s="11"/>
      <c r="J20" s="125">
        <f>VLOOKUP($J$11,'Data 3 Table'!$A$4:$FZ$84,2+$A20)</f>
        <v>39.926821054420017</v>
      </c>
      <c r="K20" s="125"/>
      <c r="M20" s="81">
        <f t="shared" si="0"/>
        <v>17.936809521638359</v>
      </c>
      <c r="N20" s="134" t="str">
        <f>'Data 3 Table'!AN85</f>
        <v>Census 2021 (update 2026)</v>
      </c>
      <c r="O20" s="133"/>
      <c r="P20" s="133"/>
    </row>
    <row r="21" spans="1:17" ht="23" customHeight="1">
      <c r="A21" s="10">
        <v>39</v>
      </c>
      <c r="B21" s="127" t="str">
        <f>'Data 3 Table'!AO3</f>
        <v>Per cent of 25-44 year-olds who hold a degree, 2021</v>
      </c>
      <c r="C21" s="127"/>
      <c r="D21" s="127"/>
      <c r="E21" s="127"/>
      <c r="F21" s="127"/>
      <c r="G21" s="128">
        <f>VLOOKUP($H$11,'Data 3 Table'!$A$4:$FZ$84,2+$A21)</f>
        <v>36.871160372900285</v>
      </c>
      <c r="H21" s="128"/>
      <c r="I21" s="11"/>
      <c r="J21" s="128">
        <f>VLOOKUP($J$11,'Data 3 Table'!$A$4:$FZ$84,2+$A21)</f>
        <v>49.481801722251561</v>
      </c>
      <c r="K21" s="128"/>
      <c r="M21" s="80">
        <f t="shared" si="0"/>
        <v>-25.485412637431054</v>
      </c>
      <c r="N21" s="151" t="str">
        <f>'Data 3 Table'!AO85</f>
        <v>Census 2021 (update 2026)</v>
      </c>
      <c r="O21" s="139"/>
      <c r="P21" s="139"/>
    </row>
    <row r="22" spans="1:17" ht="23" customHeight="1">
      <c r="A22" s="10">
        <v>40</v>
      </c>
      <c r="B22" s="136">
        <f>'Data 3 Table'!AP3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51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215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IF(Employment!$K$11=1,CONCATENATE(G12,":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IF(Employment!K11=2,"A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41</v>
      </c>
      <c r="B13" s="127" t="str">
        <f>'Data 3 Table'!AQ3</f>
        <v>Per cent 20-24 year olds not in paid employment or enrolled in formal education, 2021</v>
      </c>
      <c r="C13" s="127"/>
      <c r="D13" s="127"/>
      <c r="E13" s="127"/>
      <c r="F13" s="127"/>
      <c r="G13" s="128">
        <f>VLOOKUP($H$11,'Data 3 Table'!$A$4:$FZ$84,2+$A13)</f>
        <v>13.187019320952917</v>
      </c>
      <c r="H13" s="128"/>
      <c r="I13" s="11"/>
      <c r="J13" s="128">
        <f>VLOOKUP($J$11,'Data 3 Table'!$A$4:$FZ$84,2+$A13)</f>
        <v>9.4889317053000841</v>
      </c>
      <c r="K13" s="128"/>
      <c r="M13" s="80">
        <f t="shared" ref="M13:M22" si="0">(G13-J13)/J13*100</f>
        <v>38.972644450452201</v>
      </c>
      <c r="N13" s="133" t="str">
        <f>'Data 3 Table'!AQ85</f>
        <v>Census 2021 (update 2026)</v>
      </c>
      <c r="O13" s="133"/>
      <c r="P13" s="133"/>
      <c r="Q13" s="5"/>
    </row>
    <row r="14" spans="1:17" ht="23" customHeight="1">
      <c r="A14" s="10">
        <v>42</v>
      </c>
      <c r="B14" s="123" t="str">
        <f>'Data 3 Table'!AR3</f>
        <v>Unemployment rate, persons 15+, June 2025</v>
      </c>
      <c r="C14" s="123"/>
      <c r="D14" s="123"/>
      <c r="E14" s="123"/>
      <c r="F14" s="123"/>
      <c r="G14" s="124">
        <f>VLOOKUP($H$11,'Data 3 Table'!$A$4:$FZ$84,2+$A14)</f>
        <v>7.6</v>
      </c>
      <c r="H14" s="124"/>
      <c r="I14" s="11"/>
      <c r="J14" s="125">
        <f>VLOOKUP($J$11,'Data 3 Table'!$A$4:$FZ$84,2+$A14)</f>
        <v>4.5</v>
      </c>
      <c r="K14" s="125"/>
      <c r="M14" s="81">
        <f t="shared" si="0"/>
        <v>68.888888888888872</v>
      </c>
      <c r="N14" s="134" t="str">
        <f>'Data 3 Table'!AR85</f>
        <v>Federal Dept.. Employment and Workplace Relations, 2025 (update 2026)</v>
      </c>
      <c r="O14" s="133"/>
      <c r="P14" s="133"/>
      <c r="Q14" s="5"/>
    </row>
    <row r="15" spans="1:17" ht="23" customHeight="1">
      <c r="A15" s="10">
        <v>43</v>
      </c>
      <c r="B15" s="127" t="str">
        <f>'Data 3 Table'!AS3</f>
        <v>Managers and professionals as a percentage of employed residents, 2021</v>
      </c>
      <c r="C15" s="127"/>
      <c r="D15" s="127"/>
      <c r="E15" s="127"/>
      <c r="F15" s="127"/>
      <c r="G15" s="128">
        <f>VLOOKUP($H$11,'Data 3 Table'!$A$4:$FZ$84,2+$A15)</f>
        <v>24.532173965918247</v>
      </c>
      <c r="H15" s="128"/>
      <c r="I15" s="11"/>
      <c r="J15" s="128">
        <f>VLOOKUP($J$11,'Data 3 Table'!$A$4:$FZ$84,2+$A15)</f>
        <v>43.220340495897851</v>
      </c>
      <c r="K15" s="128"/>
      <c r="M15" s="80">
        <f t="shared" si="0"/>
        <v>-43.239285751932805</v>
      </c>
      <c r="N15" s="134" t="str">
        <f>'Data 3 Table'!AS85</f>
        <v>Census 2021 (update 2026)</v>
      </c>
      <c r="O15" s="133"/>
      <c r="P15" s="133"/>
      <c r="Q15" s="5"/>
    </row>
    <row r="16" spans="1:17" ht="23" customHeight="1">
      <c r="A16" s="10">
        <v>44</v>
      </c>
      <c r="B16" s="123" t="str">
        <f>'Data 3 Table'!AT3</f>
        <v>Salespersons, machinery operators and labourers as a percentage of employed residents, 2021</v>
      </c>
      <c r="C16" s="123"/>
      <c r="D16" s="123"/>
      <c r="E16" s="123"/>
      <c r="F16" s="123"/>
      <c r="G16" s="124">
        <f>VLOOKUP($H$11,'Data 3 Table'!$A$4:$FZ$84,2+$A16)</f>
        <v>37.861982133221417</v>
      </c>
      <c r="H16" s="124"/>
      <c r="I16" s="11"/>
      <c r="J16" s="125">
        <f>VLOOKUP($J$11,'Data 3 Table'!$A$4:$FZ$84,2+$A16)</f>
        <v>22.135290971195602</v>
      </c>
      <c r="K16" s="125"/>
      <c r="M16" s="81">
        <f t="shared" si="0"/>
        <v>71.048043517886342</v>
      </c>
      <c r="N16" s="134" t="str">
        <f>'Data 3 Table'!AT85</f>
        <v>Census 2021 (update 2026)</v>
      </c>
      <c r="O16" s="133"/>
      <c r="P16" s="133"/>
    </row>
    <row r="17" spans="1:17" ht="23" customHeight="1">
      <c r="A17" s="10">
        <v>45</v>
      </c>
      <c r="B17" s="127" t="str">
        <f>'Data 3 Table'!AU3</f>
        <v>Per cent of two-parent families with no parent in paid work, 2021</v>
      </c>
      <c r="C17" s="127"/>
      <c r="D17" s="127"/>
      <c r="E17" s="127"/>
      <c r="F17" s="127"/>
      <c r="G17" s="128">
        <f>VLOOKUP($H$11,'Data 3 Table'!$A$4:$FZ$84,2+$A17)</f>
        <v>17.121865516690622</v>
      </c>
      <c r="H17" s="128"/>
      <c r="I17" s="11"/>
      <c r="J17" s="128">
        <f>VLOOKUP($J$11,'Data 3 Table'!$A$4:$FZ$84,2+$A17)</f>
        <v>8.4970204700647898</v>
      </c>
      <c r="K17" s="128"/>
      <c r="M17" s="80">
        <f t="shared" si="0"/>
        <v>101.50434587054806</v>
      </c>
      <c r="N17" s="134" t="str">
        <f>'Data 3 Table'!AU85</f>
        <v>Census 2021 (update 2026)</v>
      </c>
      <c r="O17" s="133"/>
      <c r="P17" s="133"/>
      <c r="Q17" s="5"/>
    </row>
    <row r="18" spans="1:17" ht="23" customHeight="1">
      <c r="A18" s="10">
        <v>46</v>
      </c>
      <c r="B18" s="136">
        <f>'Data 3 Table'!AV3</f>
        <v>0</v>
      </c>
      <c r="C18" s="137"/>
      <c r="D18" s="137"/>
      <c r="E18" s="137"/>
      <c r="F18" s="137"/>
      <c r="G18" s="138">
        <f>VLOOKUP($H$11,'Data 3 Table'!$A$4:$FZ$84,2+$A18)</f>
        <v>0</v>
      </c>
      <c r="H18" s="138"/>
      <c r="I18" s="79"/>
      <c r="J18" s="138">
        <f>VLOOKUP($J$11,'Data 3 Table'!$A$4:$FZ$84,2+$A18)</f>
        <v>0</v>
      </c>
      <c r="K18" s="138"/>
      <c r="M18" s="27" t="e">
        <f t="shared" si="0"/>
        <v>#DIV/0!</v>
      </c>
      <c r="N18" s="133"/>
      <c r="O18" s="133"/>
      <c r="P18" s="133"/>
    </row>
    <row r="19" spans="1:17" ht="23" customHeight="1">
      <c r="A19" s="10">
        <v>47</v>
      </c>
      <c r="B19" s="137">
        <f>'Data 3 Table'!AW3</f>
        <v>0</v>
      </c>
      <c r="C19" s="137"/>
      <c r="D19" s="137"/>
      <c r="E19" s="137"/>
      <c r="F19" s="137"/>
      <c r="G19" s="138">
        <f>VLOOKUP($H$11,'Data 3 Table'!$A$4:$FZ$84,2+$A19)</f>
        <v>0</v>
      </c>
      <c r="H19" s="138"/>
      <c r="I19" s="79"/>
      <c r="J19" s="138">
        <f>VLOOKUP($J$11,'Data 3 Table'!$A$4:$FZ$84,2+$A19)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48</v>
      </c>
      <c r="B20" s="136">
        <f>'Data 3 Table'!AX3</f>
        <v>0</v>
      </c>
      <c r="C20" s="136"/>
      <c r="D20" s="136"/>
      <c r="E20" s="136"/>
      <c r="F20" s="136"/>
      <c r="G20" s="138">
        <f>VLOOKUP($H$11,'Data 3 Table'!$A$4:$FZ$84,2+$A20)</f>
        <v>0</v>
      </c>
      <c r="H20" s="138"/>
      <c r="I20" s="79"/>
      <c r="J20" s="138">
        <f>VLOOKUP($J$11,'Data 3 Table'!$A$4:$FZ$84,2+$A20)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49</v>
      </c>
      <c r="B21" s="137">
        <f>'Data 3 Table'!AY3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M21" s="27" t="e">
        <f t="shared" si="0"/>
        <v>#DIV/0!</v>
      </c>
      <c r="N21" s="139"/>
      <c r="O21" s="139"/>
      <c r="P21" s="139"/>
    </row>
    <row r="22" spans="1:17" ht="23" customHeight="1">
      <c r="A22" s="10">
        <v>50</v>
      </c>
      <c r="B22" s="136">
        <f>'Data 3 Table'!AZ3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216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IF(Finance!$K$11=1,CONCATENATE(G12,":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IF(Finance!K11=2,"A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51</v>
      </c>
      <c r="B13" s="127" t="str">
        <f>'Data 3 Table'!BA3</f>
        <v>Median weekly gross individual income, persons 15+, 2021</v>
      </c>
      <c r="C13" s="127"/>
      <c r="D13" s="127"/>
      <c r="E13" s="127"/>
      <c r="F13" s="127"/>
      <c r="G13" s="152">
        <f>VLOOKUP($H$11,'Data 3 Table'!$A$4:$FZ$84,2+$A13)</f>
        <v>618.54838709677415</v>
      </c>
      <c r="H13" s="152"/>
      <c r="I13" s="11"/>
      <c r="J13" s="152">
        <f>VLOOKUP($J$11,'Data 3 Table'!$A$4:$FZ$84,2+$A13)</f>
        <v>841.00932862453988</v>
      </c>
      <c r="K13" s="152"/>
      <c r="M13" s="80">
        <f t="shared" ref="M13:M22" si="0">(G13-J13)/J13*100</f>
        <v>-26.451661587582837</v>
      </c>
      <c r="N13" s="133" t="str">
        <f>'Data 3 Table'!BA85</f>
        <v>Census 2021 (update 2026)</v>
      </c>
      <c r="O13" s="133"/>
      <c r="P13" s="133"/>
      <c r="Q13" s="5"/>
    </row>
    <row r="14" spans="1:17" ht="23" customHeight="1">
      <c r="A14" s="10">
        <v>52</v>
      </c>
      <c r="B14" s="123" t="str">
        <f>'Data 3 Table'!BB3</f>
        <v>Female median individual weekly gross income, persons 15+, 2021</v>
      </c>
      <c r="C14" s="123"/>
      <c r="D14" s="123"/>
      <c r="E14" s="123"/>
      <c r="F14" s="123"/>
      <c r="G14" s="141">
        <f>VLOOKUP($H$11,'Data 3 Table'!$A$4:$FZ$84,2+$A14)</f>
        <v>481.97465072735127</v>
      </c>
      <c r="H14" s="141"/>
      <c r="I14" s="11"/>
      <c r="J14" s="142">
        <f>VLOOKUP($J$11,'Data 3 Table'!$A$4:$FZ$84,2+$A14)</f>
        <v>684.39828816541149</v>
      </c>
      <c r="K14" s="142"/>
      <c r="M14" s="81">
        <f t="shared" si="0"/>
        <v>-29.576876643083693</v>
      </c>
      <c r="N14" s="134" t="str">
        <f>'Data 3 Table'!BB85</f>
        <v>Census 2021 (update 2026)</v>
      </c>
      <c r="O14" s="133"/>
      <c r="P14" s="133"/>
      <c r="Q14" s="5"/>
    </row>
    <row r="15" spans="1:17" ht="23" customHeight="1">
      <c r="A15" s="10">
        <v>53</v>
      </c>
      <c r="B15" s="127" t="str">
        <f>'Data 3 Table'!BC3</f>
        <v>Male median individual weekly gross income, persons 15+, 2021</v>
      </c>
      <c r="C15" s="127"/>
      <c r="D15" s="127"/>
      <c r="E15" s="127"/>
      <c r="F15" s="127"/>
      <c r="G15" s="152">
        <f>VLOOKUP($H$11,'Data 3 Table'!$A$4:$FZ$84,2+$A15)</f>
        <v>789.8925487045592</v>
      </c>
      <c r="H15" s="152"/>
      <c r="I15" s="11"/>
      <c r="J15" s="152">
        <f>VLOOKUP($J$11,'Data 3 Table'!$A$4:$FZ$84,2+$A15)</f>
        <v>1034.5324089594769</v>
      </c>
      <c r="K15" s="152"/>
      <c r="M15" s="80">
        <f t="shared" si="0"/>
        <v>-23.647384860661276</v>
      </c>
      <c r="N15" s="134" t="str">
        <f>'Data 3 Table'!BC85</f>
        <v>Census 2021 (update 2026)</v>
      </c>
      <c r="O15" s="133"/>
      <c r="P15" s="133"/>
      <c r="Q15" s="5"/>
    </row>
    <row r="16" spans="1:17" ht="23" customHeight="1">
      <c r="A16" s="10">
        <v>54</v>
      </c>
      <c r="B16" s="123" t="str">
        <f>'Data 3 Table'!BD3</f>
        <v>Electronic gambling machine losses per adult, 2024/25</v>
      </c>
      <c r="C16" s="123"/>
      <c r="D16" s="123"/>
      <c r="E16" s="123"/>
      <c r="F16" s="123"/>
      <c r="G16" s="141">
        <f>VLOOKUP($H$11,'Data 3 Table'!$A$4:$FZ$84,2+$A16)</f>
        <v>1076.5688863579437</v>
      </c>
      <c r="H16" s="141"/>
      <c r="I16" s="11"/>
      <c r="J16" s="142">
        <f>VLOOKUP($J$11,'Data 3 Table'!$A$4:$FZ$84,2+$A16)</f>
        <v>593.42945667814286</v>
      </c>
      <c r="K16" s="142"/>
      <c r="M16" s="81">
        <f t="shared" si="0"/>
        <v>81.41480410903165</v>
      </c>
      <c r="N16" s="134" t="str">
        <f>'Data 3 Table'!BD85</f>
        <v>Victorian Gambling and Casino Control Commission, 2025 (update 2026)</v>
      </c>
      <c r="O16" s="133"/>
      <c r="P16" s="133"/>
    </row>
    <row r="17" spans="1:17" ht="23" customHeight="1">
      <c r="A17" s="10">
        <v>55</v>
      </c>
      <c r="B17" s="127" t="str">
        <f>'Data 3 Table'!BE3</f>
        <v>SEIFA Index of Relative Socio-economic Disadvantage, 2021</v>
      </c>
      <c r="C17" s="127"/>
      <c r="D17" s="127"/>
      <c r="E17" s="127"/>
      <c r="F17" s="127"/>
      <c r="G17" s="130">
        <f>VLOOKUP($H$11,'Data 3 Table'!$A$4:$FZ$84,2+$A17)</f>
        <v>887</v>
      </c>
      <c r="H17" s="130"/>
      <c r="I17" s="11"/>
      <c r="J17" s="130">
        <f>VLOOKUP($J$11,'Data 3 Table'!$A$4:$FZ$84,2+$A17)</f>
        <v>1017</v>
      </c>
      <c r="K17" s="130"/>
      <c r="M17" s="80">
        <f t="shared" si="0"/>
        <v>-12.782694198623402</v>
      </c>
      <c r="N17" s="134" t="str">
        <f>'Data 3 Table'!BE85</f>
        <v>Census 2021 (update 2026)</v>
      </c>
      <c r="O17" s="133"/>
      <c r="P17" s="133"/>
      <c r="Q17" s="5"/>
    </row>
    <row r="18" spans="1:17" ht="23" customHeight="1">
      <c r="A18" s="10">
        <v>56</v>
      </c>
      <c r="B18" s="122" t="str">
        <f>'Data 3 Table'!BF3</f>
        <v>Per cent of weekly individual incomes below $250 persons aged 35-44, 2021</v>
      </c>
      <c r="C18" s="123"/>
      <c r="D18" s="123"/>
      <c r="E18" s="123"/>
      <c r="F18" s="123"/>
      <c r="G18" s="143">
        <f>VLOOKUP($H$11,'Data 3 Table'!$A$4:$FZ$84,2+$A18)</f>
        <v>15.880327563744649</v>
      </c>
      <c r="H18" s="143"/>
      <c r="I18" s="11"/>
      <c r="J18" s="144">
        <f>VLOOKUP($J$11,'Data 3 Table'!$A$4:$FZ$84,2+$A18)</f>
        <v>15</v>
      </c>
      <c r="K18" s="144"/>
      <c r="M18" s="81">
        <f t="shared" si="0"/>
        <v>5.8688504249643243</v>
      </c>
      <c r="N18" s="134" t="str">
        <f>'Data 3 Table'!BF85</f>
        <v>Census 2021 (update 2026)</v>
      </c>
      <c r="O18" s="133"/>
      <c r="P18" s="133"/>
    </row>
    <row r="19" spans="1:17" ht="23" customHeight="1">
      <c r="A19" s="10">
        <v>57</v>
      </c>
      <c r="B19" s="127" t="str">
        <f>'Data 3 Table'!BG3</f>
        <v>Health Care Card Holders as a percentage of the population, June 2025</v>
      </c>
      <c r="C19" s="127"/>
      <c r="D19" s="127"/>
      <c r="E19" s="127"/>
      <c r="F19" s="127"/>
      <c r="G19" s="128">
        <f>VLOOKUP($H$11,'Data 3 Table'!$A$4:$FZ$84,2+$A19)</f>
        <v>7.7646203510248286</v>
      </c>
      <c r="H19" s="128"/>
      <c r="I19" s="11"/>
      <c r="J19" s="128">
        <f>VLOOKUP($J$11,'Data 3 Table'!$A$4:$FZ$84,2+$A19)</f>
        <v>5.3663736107428539</v>
      </c>
      <c r="K19" s="128"/>
      <c r="M19" s="80">
        <f t="shared" si="0"/>
        <v>44.690267846445956</v>
      </c>
      <c r="N19" s="134" t="str">
        <f>'Data 3 Table'!BG85</f>
        <v>Centrelink, 2025 (update 2026)</v>
      </c>
      <c r="O19" s="133"/>
      <c r="P19" s="133"/>
    </row>
    <row r="20" spans="1:17" ht="23" customHeight="1">
      <c r="A20" s="10">
        <v>58</v>
      </c>
      <c r="B20" s="136">
        <f>'Data 3 Table'!BH3</f>
        <v>0</v>
      </c>
      <c r="C20" s="136"/>
      <c r="D20" s="136"/>
      <c r="E20" s="136"/>
      <c r="F20" s="136"/>
      <c r="G20" s="138">
        <f>VLOOKUP($H$11,'Data 3 Table'!$A$4:$FZ$84,2+$A20)</f>
        <v>0</v>
      </c>
      <c r="H20" s="138"/>
      <c r="I20" s="79"/>
      <c r="J20" s="138">
        <f>VLOOKUP($J$11,'Data 3 Table'!$A$4:$FZ$84,2+$A20)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59</v>
      </c>
      <c r="B21" s="137">
        <f>'Data 3 Table'!BI3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60</v>
      </c>
      <c r="B22" s="136">
        <f>'Data 3 Table'!BJ3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217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IF(Housing!$K$11=1,CONCATENATE(G12,":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IF(Housing!K11=2,"A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61</v>
      </c>
      <c r="B13" s="127" t="str">
        <f>'Data 3 Table'!BK3</f>
        <v>Per cent of dwellings owned being purchased by their occupants, 2021</v>
      </c>
      <c r="C13" s="127"/>
      <c r="D13" s="127"/>
      <c r="E13" s="127"/>
      <c r="F13" s="127"/>
      <c r="G13" s="128">
        <f>VLOOKUP($H$11,'Data 3 Table'!$A$4:$FZ$84,2+$A13)</f>
        <v>62.528154265618213</v>
      </c>
      <c r="H13" s="128"/>
      <c r="I13" s="11"/>
      <c r="J13" s="128">
        <f>VLOOKUP($J$11,'Data 3 Table'!$A$4:$FZ$84,2+$A13)</f>
        <v>67.72109282998936</v>
      </c>
      <c r="K13" s="128"/>
      <c r="M13" s="80">
        <f t="shared" ref="M13:M22" si="0">(G13-J13)/J13*100</f>
        <v>-7.6681257601789978</v>
      </c>
      <c r="N13" s="133" t="str">
        <f>'Data 3 Table'!BK85</f>
        <v>Census 2021 (update 2026)</v>
      </c>
      <c r="O13" s="133"/>
      <c r="P13" s="133"/>
      <c r="Q13" s="5"/>
    </row>
    <row r="14" spans="1:17" ht="23" customHeight="1">
      <c r="A14" s="10">
        <v>62</v>
      </c>
      <c r="B14" s="123" t="str">
        <f>'Data 3 Table'!BL3</f>
        <v>Per cent of dwellings rented from the government, co-ops. or the church, 2021</v>
      </c>
      <c r="C14" s="123"/>
      <c r="D14" s="123"/>
      <c r="E14" s="123"/>
      <c r="F14" s="123"/>
      <c r="G14" s="124">
        <f>VLOOKUP($H$11,'Data 3 Table'!$A$4:$FZ$84,2+$A14)</f>
        <v>3.8823250484055793</v>
      </c>
      <c r="H14" s="124"/>
      <c r="I14" s="11"/>
      <c r="J14" s="125">
        <f>VLOOKUP($J$11,'Data 3 Table'!$A$4:$FZ$84,2+$A14)</f>
        <v>2.3748066954932519</v>
      </c>
      <c r="K14" s="125"/>
      <c r="M14" s="81">
        <f t="shared" si="0"/>
        <v>63.479623658346348</v>
      </c>
      <c r="N14" s="134" t="str">
        <f>'Data 3 Table'!BL85</f>
        <v>Census 2021 (update 2026)</v>
      </c>
      <c r="O14" s="133"/>
      <c r="P14" s="133"/>
      <c r="Q14" s="5"/>
    </row>
    <row r="15" spans="1:17" ht="23" customHeight="1">
      <c r="A15" s="10">
        <v>63</v>
      </c>
      <c r="B15" s="127" t="str">
        <f>'Data 3 Table'!BM3</f>
        <v>Per cent of dwellings for rent, which are affordable to Centrelink recipients, June, 2024</v>
      </c>
      <c r="C15" s="127"/>
      <c r="D15" s="127"/>
      <c r="E15" s="127"/>
      <c r="F15" s="127"/>
      <c r="G15" s="128">
        <f>VLOOKUP($H$11,'Data 3 Table'!$A$4:$FZ$84,2+$A15)</f>
        <v>4.1000000000000005</v>
      </c>
      <c r="H15" s="128"/>
      <c r="I15" s="11"/>
      <c r="J15" s="128">
        <f>VLOOKUP($J$11,'Data 3 Table'!$A$4:$FZ$84,2+$A15)</f>
        <v>6.3</v>
      </c>
      <c r="K15" s="128"/>
      <c r="M15" s="80">
        <f t="shared" si="0"/>
        <v>-34.92063492063491</v>
      </c>
      <c r="N15" s="134" t="str">
        <f>'Data 3 Table'!BM85</f>
        <v>Dept. Human Services, 2024 (update 2025)</v>
      </c>
      <c r="O15" s="133"/>
      <c r="P15" s="133"/>
      <c r="Q15" s="5"/>
    </row>
    <row r="16" spans="1:17" ht="23" customHeight="1">
      <c r="A16" s="10">
        <v>64</v>
      </c>
      <c r="B16" s="123" t="str">
        <f>'Data 3 Table'!BN3</f>
        <v>Number of year's household income required to purchase an average house, 2021</v>
      </c>
      <c r="C16" s="123"/>
      <c r="D16" s="123"/>
      <c r="E16" s="123"/>
      <c r="F16" s="123"/>
      <c r="G16" s="124">
        <f>VLOOKUP($H$11,'Data 3 Table'!$A$4:$FZ$84,2+$A16)</f>
        <v>10.323468685478321</v>
      </c>
      <c r="H16" s="124"/>
      <c r="I16" s="11"/>
      <c r="J16" s="125">
        <f>VLOOKUP($J$11,'Data 3 Table'!$A$4:$FZ$84,2+$A16)</f>
        <v>8.8516165580868371</v>
      </c>
      <c r="K16" s="125"/>
      <c r="M16" s="81">
        <f t="shared" si="0"/>
        <v>16.628060171074626</v>
      </c>
      <c r="N16" s="134" t="str">
        <f>'Data 3 Table'!BN85</f>
        <v>Census 2021 (update 2026) &amp; Victorian Dept. Transport and Planning 2022</v>
      </c>
      <c r="O16" s="133"/>
      <c r="P16" s="133"/>
    </row>
    <row r="17" spans="1:17" ht="23" customHeight="1">
      <c r="A17" s="10">
        <v>65</v>
      </c>
      <c r="B17" s="127" t="str">
        <f>'Data 3 Table'!BO3</f>
        <v>Per cent of renting households, living in acute financial hardship, 2021</v>
      </c>
      <c r="C17" s="127"/>
      <c r="D17" s="127"/>
      <c r="E17" s="127"/>
      <c r="F17" s="127"/>
      <c r="G17" s="128">
        <f>VLOOKUP($H$11,'Data 3 Table'!$A$4:$FZ$84,2+$A17)</f>
        <v>21.121839781538331</v>
      </c>
      <c r="H17" s="128"/>
      <c r="I17" s="11"/>
      <c r="J17" s="128">
        <f>VLOOKUP($J$11,'Data 3 Table'!$A$4:$FZ$84,2+$A17)</f>
        <v>13.7</v>
      </c>
      <c r="K17" s="128"/>
      <c r="M17" s="80">
        <f t="shared" si="0"/>
        <v>54.174013003929431</v>
      </c>
      <c r="N17" s="134" t="str">
        <f>'Data 3 Table'!BO85</f>
        <v>Census 2021 (update 2026)</v>
      </c>
      <c r="O17" s="133"/>
      <c r="P17" s="133"/>
      <c r="Q17" s="5"/>
    </row>
    <row r="18" spans="1:17" ht="23" customHeight="1">
      <c r="A18" s="10">
        <v>66</v>
      </c>
      <c r="B18" s="122" t="str">
        <f>'Data 3 Table'!BP3</f>
        <v>Per cent of private dwellings that are overcrowded, 2021</v>
      </c>
      <c r="C18" s="123"/>
      <c r="D18" s="123"/>
      <c r="E18" s="123"/>
      <c r="F18" s="123"/>
      <c r="G18" s="124">
        <f>VLOOKUP($H$11,'Data 3 Table'!$A$4:$FZ$84,2+$A18)</f>
        <v>1.2715122124312497</v>
      </c>
      <c r="H18" s="124"/>
      <c r="I18" s="11"/>
      <c r="J18" s="125">
        <f>VLOOKUP($J$11,'Data 3 Table'!$A$4:$FZ$84,2+$A18)</f>
        <v>0.27050925647492075</v>
      </c>
      <c r="K18" s="125"/>
      <c r="M18" s="81">
        <f t="shared" si="0"/>
        <v>370.04388278636713</v>
      </c>
      <c r="N18" s="134" t="str">
        <f>'Data 3 Table'!BP85</f>
        <v>Census 2021 (update 2026)</v>
      </c>
      <c r="O18" s="133"/>
      <c r="P18" s="133"/>
    </row>
    <row r="19" spans="1:17" ht="23" customHeight="1">
      <c r="A19" s="10">
        <v>67</v>
      </c>
      <c r="B19" s="127" t="str">
        <f>'Data 3 Table'!BQ3</f>
        <v>Number of homeless persons per 1,000 population, 2021</v>
      </c>
      <c r="C19" s="127"/>
      <c r="D19" s="127"/>
      <c r="E19" s="127"/>
      <c r="F19" s="127"/>
      <c r="G19" s="128">
        <f>VLOOKUP($H$11,'Data 3 Table'!$A$4:$FZ$84,2+$A19)</f>
        <v>14.955090482722003</v>
      </c>
      <c r="H19" s="128"/>
      <c r="I19" s="11"/>
      <c r="J19" s="128">
        <f>VLOOKUP($J$11,'Data 3 Table'!$A$4:$FZ$84,2+$A19)</f>
        <v>4.8990498212785143</v>
      </c>
      <c r="K19" s="128"/>
      <c r="M19" s="80">
        <f t="shared" si="0"/>
        <v>205.26512340752529</v>
      </c>
      <c r="N19" s="134" t="str">
        <f>'Data 3 Table'!BQ85</f>
        <v>Census 2021 (update 2026)</v>
      </c>
      <c r="O19" s="133"/>
      <c r="P19" s="133"/>
    </row>
    <row r="20" spans="1:17" ht="23" customHeight="1">
      <c r="A20" s="10">
        <v>68</v>
      </c>
      <c r="B20" s="122" t="str">
        <f>'Data 3 Table'!BR3</f>
        <v>Per cent of households in receipt of rent assistance, 2025</v>
      </c>
      <c r="C20" s="123"/>
      <c r="D20" s="123"/>
      <c r="E20" s="123"/>
      <c r="F20" s="123"/>
      <c r="G20" s="124">
        <f>VLOOKUP($H$11,'Data 3 Table'!$A$4:$FZ$84,2+$A20)</f>
        <v>18.899082415554084</v>
      </c>
      <c r="H20" s="124"/>
      <c r="I20" s="11"/>
      <c r="J20" s="125">
        <f>VLOOKUP($J$11,'Data 3 Table'!$A$4:$FZ$84,2+$A20)</f>
        <v>10.435011105136397</v>
      </c>
      <c r="K20" s="125"/>
      <c r="M20" s="81">
        <f t="shared" si="0"/>
        <v>81.112240563418666</v>
      </c>
      <c r="N20" s="133" t="str">
        <f>'Data 3 Table'!BR85</f>
        <v>Centrelink, 2025 (update 2026)</v>
      </c>
      <c r="O20" s="133"/>
      <c r="P20" s="133"/>
    </row>
    <row r="21" spans="1:17" ht="23" customHeight="1">
      <c r="A21" s="10">
        <v>69</v>
      </c>
      <c r="B21" s="137">
        <f>'Data 3 Table'!BS3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70</v>
      </c>
      <c r="B22" s="136">
        <f>'Data 3 Table'!BT3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2024-12-09T22:53:55Z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2025-11-13T00:22:05Z</value>
    </field>
    <field name="Objective-ModificationStamp">
      <value order="0">2025-11-13T00:22:05Z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vA15853241</value>
    </field>
    <field name="Objective-Version">
      <value order="0">4.0</value>
    </field>
    <field name="Objective-VersionNumber">
      <value order="0">4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2025-11-13T00:20:55Z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2024-12-09T22:53:55Z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2025-11-13T00:22:05Z</vt:filetime>
  </property>
  <property fmtid="{D5CDD505-2E9C-101B-9397-08002B2CF9AE}" pid="10" name="Objective-ModificationStamp">
    <vt:filetime>2025-11-13T00:22:05Z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vA15853241</vt:lpwstr>
  </property>
  <property fmtid="{D5CDD505-2E9C-101B-9397-08002B2CF9AE}" pid="16" name="Objective-Version">
    <vt:lpwstr>4.0</vt:lpwstr>
  </property>
  <property fmtid="{D5CDD505-2E9C-101B-9397-08002B2CF9AE}" pid="17" name="Objective-VersionNumber">
    <vt:r8>4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