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4.xml" ContentType="application/vnd.ms-excel.controlproperties+xml"/>
  <Override PartName="/xl/charts/chart2.xml" ContentType="application/vnd.openxmlformats-officedocument.drawingml.chart+xml"/>
  <Override PartName="/xl/charts/chart3.xml" ContentType="application/vnd.openxmlformats-officedocument.drawingml.chart+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653f645956f4468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C:\Users\hbrown\ObjectiveHome\objective-8008\Objects\WinTalk\8730060e-8a6f-469d-a687-be550f0e7e64\"/>
    </mc:Choice>
  </mc:AlternateContent>
  <xr:revisionPtr revIDLastSave="0" documentId="8_{A850B17D-E61B-451B-8791-7377B3BCE81C}" xr6:coauthVersionLast="44" xr6:coauthVersionMax="44" xr10:uidLastSave="{00000000-0000-0000-0000-000000000000}"/>
  <workbookProtection workbookPassword="CF21" lockStructure="1"/>
  <bookViews>
    <workbookView showHorizontalScroll="0" showSheetTabs="0" xWindow="-120" yWindow="-120" windowWidth="29040" windowHeight="15840" tabRatio="663" xr2:uid="{00000000-000D-0000-FFFF-FFFF00000000}"/>
  </bookViews>
  <sheets>
    <sheet name="Front" sheetId="24" r:id="rId1"/>
    <sheet name="Indicators" sheetId="2" r:id="rId2"/>
    <sheet name="Venue List" sheetId="17" state="hidden" r:id="rId3"/>
    <sheet name="Converter to Grouped Localities" sheetId="11" state="hidden" r:id="rId4"/>
    <sheet name="Comparison" sheetId="19" r:id="rId5"/>
    <sheet name="Data" sheetId="1" state="hidden" r:id="rId6"/>
    <sheet name="Venues" sheetId="20" r:id="rId7"/>
    <sheet name="3 Correl Data Metro" sheetId="22" state="hidden" r:id="rId8"/>
    <sheet name="Correlations" sheetId="23" r:id="rId9"/>
    <sheet name="Data (2)" sheetId="30" state="hidden" r:id="rId10"/>
    <sheet name="Gaming Trends" sheetId="31" r:id="rId11"/>
    <sheet name="Summing by LGA from Venue Data" sheetId="21" state="hidden" r:id="rId12"/>
  </sheets>
  <definedNames>
    <definedName name="_xlnm._FilterDatabase" localSheetId="2" hidden="1">'Venue List'!$B$3:$F$553</definedName>
    <definedName name="_xlnm._FilterDatabase" localSheetId="6" hidden="1">Venues!$B$5:$E$503</definedName>
    <definedName name="_xlnm.Print_Area" localSheetId="7">'3 Correl Data Metro'!$C$1:$AJ$38</definedName>
    <definedName name="_xlnm.Print_Area" localSheetId="4">Comparison!$A$1:$J$69</definedName>
    <definedName name="_xlnm.Print_Area" localSheetId="8">Correlations!$A$1:$N$34</definedName>
    <definedName name="_xlnm.Print_Area" localSheetId="5">Data!$B$4:$BJ$85</definedName>
    <definedName name="_xlnm.Print_Area" localSheetId="10">'Gaming Trends'!$B$1:$AI$40</definedName>
    <definedName name="_xlnm.Print_Area" localSheetId="1">Indicators!$A$1:$K$24</definedName>
    <definedName name="_xlnm.Print_Area" localSheetId="2">'Venue List'!$B$1:$J$544</definedName>
    <definedName name="_xlnm.Print_Area" localSheetId="6">Venues!$B$1:$T$511</definedName>
    <definedName name="_xlnm.Print_Titles" localSheetId="2">'Venue List'!$1:$3</definedName>
    <definedName name="_xlnm.Print_Titles" localSheetId="6">Venues!$5:$5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 i="20" l="1"/>
  <c r="P5" i="1" l="1"/>
  <c r="Q4" i="20" l="1"/>
  <c r="F4" i="20"/>
  <c r="E4" i="20"/>
  <c r="P4" i="20"/>
  <c r="O4" i="20"/>
  <c r="D42" i="30"/>
  <c r="E42" i="30"/>
  <c r="F42" i="30"/>
  <c r="G42" i="30"/>
  <c r="H42" i="30"/>
  <c r="I42" i="30"/>
  <c r="J42" i="30"/>
  <c r="K42" i="30"/>
  <c r="L42" i="30"/>
  <c r="AA8" i="31" s="1"/>
  <c r="M42" i="30"/>
  <c r="N42" i="30"/>
  <c r="O42" i="30"/>
  <c r="P42" i="30"/>
  <c r="Q42" i="30"/>
  <c r="R42" i="30"/>
  <c r="S42" i="30"/>
  <c r="T42" i="30"/>
  <c r="U42" i="30"/>
  <c r="V42" i="30"/>
  <c r="W42" i="30"/>
  <c r="X42" i="30"/>
  <c r="Y42" i="30"/>
  <c r="Z42" i="30"/>
  <c r="AA42" i="30"/>
  <c r="AB42" i="30"/>
  <c r="D43" i="30"/>
  <c r="E43" i="30"/>
  <c r="F43" i="30"/>
  <c r="G43" i="30"/>
  <c r="H43" i="30"/>
  <c r="I43" i="30"/>
  <c r="J43" i="30"/>
  <c r="K43" i="30"/>
  <c r="L43" i="30"/>
  <c r="AA9" i="31" s="1"/>
  <c r="M43" i="30"/>
  <c r="N43" i="30"/>
  <c r="O43" i="30"/>
  <c r="P43" i="30"/>
  <c r="Q43" i="30"/>
  <c r="R43" i="30"/>
  <c r="S43" i="30"/>
  <c r="T43" i="30"/>
  <c r="U43" i="30"/>
  <c r="V43" i="30"/>
  <c r="W43" i="30"/>
  <c r="X43" i="30"/>
  <c r="Y43" i="30"/>
  <c r="Z43" i="30"/>
  <c r="AA43" i="30"/>
  <c r="AB43" i="30"/>
  <c r="D44" i="30"/>
  <c r="E44" i="30"/>
  <c r="F44" i="30"/>
  <c r="G44" i="30"/>
  <c r="H44" i="30"/>
  <c r="I44" i="30"/>
  <c r="J44" i="30"/>
  <c r="K44" i="30"/>
  <c r="L44" i="30"/>
  <c r="AA10" i="31" s="1"/>
  <c r="M44" i="30"/>
  <c r="N44" i="30"/>
  <c r="O44" i="30"/>
  <c r="P44" i="30"/>
  <c r="Q44" i="30"/>
  <c r="R44" i="30"/>
  <c r="S44" i="30"/>
  <c r="T44" i="30"/>
  <c r="U44" i="30"/>
  <c r="V44" i="30"/>
  <c r="W44" i="30"/>
  <c r="X44" i="30"/>
  <c r="Y44" i="30"/>
  <c r="Z44" i="30"/>
  <c r="AA44" i="30"/>
  <c r="AB44" i="30"/>
  <c r="D45" i="30"/>
  <c r="E45" i="30"/>
  <c r="F45" i="30"/>
  <c r="G45" i="30"/>
  <c r="H45" i="30"/>
  <c r="I45" i="30"/>
  <c r="J45" i="30"/>
  <c r="K45" i="30"/>
  <c r="L45" i="30"/>
  <c r="AA11" i="31" s="1"/>
  <c r="M45" i="30"/>
  <c r="N45" i="30"/>
  <c r="O45" i="30"/>
  <c r="P45" i="30"/>
  <c r="Q45" i="30"/>
  <c r="R45" i="30"/>
  <c r="S45" i="30"/>
  <c r="T45" i="30"/>
  <c r="U45" i="30"/>
  <c r="V45" i="30"/>
  <c r="W45" i="30"/>
  <c r="X45" i="30"/>
  <c r="Y45" i="30"/>
  <c r="Z45" i="30"/>
  <c r="AA45" i="30"/>
  <c r="AB45" i="30"/>
  <c r="D46" i="30"/>
  <c r="E46" i="30"/>
  <c r="F46" i="30"/>
  <c r="G46" i="30"/>
  <c r="H46" i="30"/>
  <c r="I46" i="30"/>
  <c r="J46" i="30"/>
  <c r="K46" i="30"/>
  <c r="L46" i="30"/>
  <c r="AA12" i="31" s="1"/>
  <c r="M46" i="30"/>
  <c r="N46" i="30"/>
  <c r="O46" i="30"/>
  <c r="P46" i="30"/>
  <c r="Q46" i="30"/>
  <c r="R46" i="30"/>
  <c r="S46" i="30"/>
  <c r="T46" i="30"/>
  <c r="U46" i="30"/>
  <c r="V46" i="30"/>
  <c r="W46" i="30"/>
  <c r="X46" i="30"/>
  <c r="Y46" i="30"/>
  <c r="Z46" i="30"/>
  <c r="AA46" i="30"/>
  <c r="AB46" i="30"/>
  <c r="D47" i="30"/>
  <c r="E47" i="30"/>
  <c r="F47" i="30"/>
  <c r="G47" i="30"/>
  <c r="H47" i="30"/>
  <c r="I47" i="30"/>
  <c r="J47" i="30"/>
  <c r="K47" i="30"/>
  <c r="L47" i="30"/>
  <c r="AA13" i="31" s="1"/>
  <c r="M47" i="30"/>
  <c r="N47" i="30"/>
  <c r="O47" i="30"/>
  <c r="P47" i="30"/>
  <c r="Q47" i="30"/>
  <c r="R47" i="30"/>
  <c r="S47" i="30"/>
  <c r="T47" i="30"/>
  <c r="U47" i="30"/>
  <c r="V47" i="30"/>
  <c r="W47" i="30"/>
  <c r="X47" i="30"/>
  <c r="Y47" i="30"/>
  <c r="Z47" i="30"/>
  <c r="AA47" i="30"/>
  <c r="AB47" i="30"/>
  <c r="D48" i="30"/>
  <c r="E48" i="30"/>
  <c r="F48" i="30"/>
  <c r="G48" i="30"/>
  <c r="H48" i="30"/>
  <c r="I48" i="30"/>
  <c r="J48" i="30"/>
  <c r="K48" i="30"/>
  <c r="L48" i="30"/>
  <c r="AA14" i="31" s="1"/>
  <c r="M48" i="30"/>
  <c r="N48" i="30"/>
  <c r="O48" i="30"/>
  <c r="P48" i="30"/>
  <c r="Q48" i="30"/>
  <c r="R48" i="30"/>
  <c r="S48" i="30"/>
  <c r="T48" i="30"/>
  <c r="U48" i="30"/>
  <c r="V48" i="30"/>
  <c r="W48" i="30"/>
  <c r="X48" i="30"/>
  <c r="Y48" i="30"/>
  <c r="Z48" i="30"/>
  <c r="AA48" i="30"/>
  <c r="AB48" i="30"/>
  <c r="D49" i="30"/>
  <c r="E49" i="30"/>
  <c r="F49" i="30"/>
  <c r="G49" i="30"/>
  <c r="H49" i="30"/>
  <c r="I49" i="30"/>
  <c r="J49" i="30"/>
  <c r="K49" i="30"/>
  <c r="L49" i="30"/>
  <c r="AA15" i="31" s="1"/>
  <c r="M49" i="30"/>
  <c r="N49" i="30"/>
  <c r="O49" i="30"/>
  <c r="P49" i="30"/>
  <c r="Q49" i="30"/>
  <c r="R49" i="30"/>
  <c r="S49" i="30"/>
  <c r="T49" i="30"/>
  <c r="U49" i="30"/>
  <c r="V49" i="30"/>
  <c r="W49" i="30"/>
  <c r="X49" i="30"/>
  <c r="Y49" i="30"/>
  <c r="Z49" i="30"/>
  <c r="AA49" i="30"/>
  <c r="AB49" i="30"/>
  <c r="D50" i="30"/>
  <c r="E50" i="30"/>
  <c r="F50" i="30"/>
  <c r="G50" i="30"/>
  <c r="H50" i="30"/>
  <c r="I50" i="30"/>
  <c r="J50" i="30"/>
  <c r="K50" i="30"/>
  <c r="L50" i="30"/>
  <c r="AA16" i="31" s="1"/>
  <c r="M50" i="30"/>
  <c r="N50" i="30"/>
  <c r="O50" i="30"/>
  <c r="P50" i="30"/>
  <c r="Q50" i="30"/>
  <c r="R50" i="30"/>
  <c r="S50" i="30"/>
  <c r="T50" i="30"/>
  <c r="U50" i="30"/>
  <c r="V50" i="30"/>
  <c r="W50" i="30"/>
  <c r="X50" i="30"/>
  <c r="Y50" i="30"/>
  <c r="Z50" i="30"/>
  <c r="AA50" i="30"/>
  <c r="AB50" i="30"/>
  <c r="D51" i="30"/>
  <c r="E51" i="30"/>
  <c r="F51" i="30"/>
  <c r="G51" i="30"/>
  <c r="H51" i="30"/>
  <c r="I51" i="30"/>
  <c r="J51" i="30"/>
  <c r="K51" i="30"/>
  <c r="L51" i="30"/>
  <c r="AA17" i="31" s="1"/>
  <c r="M51" i="30"/>
  <c r="N51" i="30"/>
  <c r="O51" i="30"/>
  <c r="P51" i="30"/>
  <c r="Q51" i="30"/>
  <c r="R51" i="30"/>
  <c r="S51" i="30"/>
  <c r="T51" i="30"/>
  <c r="U51" i="30"/>
  <c r="V51" i="30"/>
  <c r="W51" i="30"/>
  <c r="X51" i="30"/>
  <c r="Y51" i="30"/>
  <c r="Z51" i="30"/>
  <c r="AA51" i="30"/>
  <c r="AB51" i="30"/>
  <c r="D52" i="30"/>
  <c r="E52" i="30"/>
  <c r="F52" i="30"/>
  <c r="G52" i="30"/>
  <c r="H52" i="30"/>
  <c r="I52" i="30"/>
  <c r="J52" i="30"/>
  <c r="K52" i="30"/>
  <c r="L52" i="30"/>
  <c r="AA18" i="31" s="1"/>
  <c r="M52" i="30"/>
  <c r="N52" i="30"/>
  <c r="O52" i="30"/>
  <c r="P52" i="30"/>
  <c r="Q52" i="30"/>
  <c r="R52" i="30"/>
  <c r="S52" i="30"/>
  <c r="T52" i="30"/>
  <c r="U52" i="30"/>
  <c r="V52" i="30"/>
  <c r="W52" i="30"/>
  <c r="X52" i="30"/>
  <c r="Y52" i="30"/>
  <c r="Z52" i="30"/>
  <c r="AA52" i="30"/>
  <c r="AB52" i="30"/>
  <c r="D53" i="30"/>
  <c r="E53" i="30"/>
  <c r="F53" i="30"/>
  <c r="G53" i="30"/>
  <c r="H53" i="30"/>
  <c r="I53" i="30"/>
  <c r="J53" i="30"/>
  <c r="K53" i="30"/>
  <c r="L53" i="30"/>
  <c r="AA19" i="31" s="1"/>
  <c r="M53" i="30"/>
  <c r="N53" i="30"/>
  <c r="O53" i="30"/>
  <c r="P53" i="30"/>
  <c r="Q53" i="30"/>
  <c r="R53" i="30"/>
  <c r="S53" i="30"/>
  <c r="T53" i="30"/>
  <c r="U53" i="30"/>
  <c r="V53" i="30"/>
  <c r="W53" i="30"/>
  <c r="X53" i="30"/>
  <c r="Y53" i="30"/>
  <c r="Z53" i="30"/>
  <c r="AA53" i="30"/>
  <c r="AB53" i="30"/>
  <c r="D54" i="30"/>
  <c r="E54" i="30"/>
  <c r="F54" i="30"/>
  <c r="G54" i="30"/>
  <c r="H54" i="30"/>
  <c r="I54" i="30"/>
  <c r="J54" i="30"/>
  <c r="K54" i="30"/>
  <c r="L54" i="30"/>
  <c r="AA20" i="31" s="1"/>
  <c r="M54" i="30"/>
  <c r="N54" i="30"/>
  <c r="O54" i="30"/>
  <c r="P54" i="30"/>
  <c r="Q54" i="30"/>
  <c r="R54" i="30"/>
  <c r="S54" i="30"/>
  <c r="T54" i="30"/>
  <c r="U54" i="30"/>
  <c r="V54" i="30"/>
  <c r="W54" i="30"/>
  <c r="X54" i="30"/>
  <c r="Y54" i="30"/>
  <c r="Z54" i="30"/>
  <c r="AA54" i="30"/>
  <c r="AB54" i="30"/>
  <c r="D55" i="30"/>
  <c r="E55" i="30"/>
  <c r="F55" i="30"/>
  <c r="G55" i="30"/>
  <c r="H55" i="30"/>
  <c r="I55" i="30"/>
  <c r="J55" i="30"/>
  <c r="K55" i="30"/>
  <c r="L55" i="30"/>
  <c r="AA21" i="31" s="1"/>
  <c r="M55" i="30"/>
  <c r="N55" i="30"/>
  <c r="O55" i="30"/>
  <c r="P55" i="30"/>
  <c r="Q55" i="30"/>
  <c r="R55" i="30"/>
  <c r="S55" i="30"/>
  <c r="T55" i="30"/>
  <c r="U55" i="30"/>
  <c r="V55" i="30"/>
  <c r="W55" i="30"/>
  <c r="X55" i="30"/>
  <c r="Y55" i="30"/>
  <c r="Z55" i="30"/>
  <c r="AA55" i="30"/>
  <c r="AB55" i="30"/>
  <c r="D56" i="30"/>
  <c r="E56" i="30"/>
  <c r="F56" i="30"/>
  <c r="G56" i="30"/>
  <c r="H56" i="30"/>
  <c r="I56" i="30"/>
  <c r="J56" i="30"/>
  <c r="K56" i="30"/>
  <c r="L56" i="30"/>
  <c r="AA22" i="31" s="1"/>
  <c r="M56" i="30"/>
  <c r="N56" i="30"/>
  <c r="O56" i="30"/>
  <c r="P56" i="30"/>
  <c r="Q56" i="30"/>
  <c r="R56" i="30"/>
  <c r="S56" i="30"/>
  <c r="T56" i="30"/>
  <c r="U56" i="30"/>
  <c r="V56" i="30"/>
  <c r="W56" i="30"/>
  <c r="X56" i="30"/>
  <c r="Y56" i="30"/>
  <c r="Z56" i="30"/>
  <c r="AA56" i="30"/>
  <c r="AB56" i="30"/>
  <c r="D57" i="30"/>
  <c r="E57" i="30"/>
  <c r="F57" i="30"/>
  <c r="G57" i="30"/>
  <c r="H57" i="30"/>
  <c r="I57" i="30"/>
  <c r="J57" i="30"/>
  <c r="K57" i="30"/>
  <c r="L57" i="30"/>
  <c r="AA23" i="31" s="1"/>
  <c r="M57" i="30"/>
  <c r="N57" i="30"/>
  <c r="O57" i="30"/>
  <c r="P57" i="30"/>
  <c r="Q57" i="30"/>
  <c r="R57" i="30"/>
  <c r="S57" i="30"/>
  <c r="T57" i="30"/>
  <c r="U57" i="30"/>
  <c r="V57" i="30"/>
  <c r="W57" i="30"/>
  <c r="X57" i="30"/>
  <c r="Y57" i="30"/>
  <c r="Z57" i="30"/>
  <c r="AA57" i="30"/>
  <c r="AB57" i="30"/>
  <c r="D58" i="30"/>
  <c r="E58" i="30"/>
  <c r="F58" i="30"/>
  <c r="G58" i="30"/>
  <c r="H58" i="30"/>
  <c r="I58" i="30"/>
  <c r="J58" i="30"/>
  <c r="K58" i="30"/>
  <c r="L58" i="30"/>
  <c r="AA24" i="31" s="1"/>
  <c r="M58" i="30"/>
  <c r="N58" i="30"/>
  <c r="O58" i="30"/>
  <c r="P58" i="30"/>
  <c r="Q58" i="30"/>
  <c r="R58" i="30"/>
  <c r="S58" i="30"/>
  <c r="T58" i="30"/>
  <c r="U58" i="30"/>
  <c r="V58" i="30"/>
  <c r="W58" i="30"/>
  <c r="X58" i="30"/>
  <c r="Y58" i="30"/>
  <c r="Z58" i="30"/>
  <c r="AA58" i="30"/>
  <c r="AB58" i="30"/>
  <c r="D59" i="30"/>
  <c r="E59" i="30"/>
  <c r="F59" i="30"/>
  <c r="G59" i="30"/>
  <c r="H59" i="30"/>
  <c r="I59" i="30"/>
  <c r="J59" i="30"/>
  <c r="K59" i="30"/>
  <c r="L59" i="30"/>
  <c r="AA25" i="31" s="1"/>
  <c r="M59" i="30"/>
  <c r="N59" i="30"/>
  <c r="O59" i="30"/>
  <c r="P59" i="30"/>
  <c r="Q59" i="30"/>
  <c r="R59" i="30"/>
  <c r="S59" i="30"/>
  <c r="T59" i="30"/>
  <c r="U59" i="30"/>
  <c r="V59" i="30"/>
  <c r="W59" i="30"/>
  <c r="X59" i="30"/>
  <c r="Y59" i="30"/>
  <c r="Z59" i="30"/>
  <c r="AA59" i="30"/>
  <c r="AB59" i="30"/>
  <c r="D60" i="30"/>
  <c r="E60" i="30"/>
  <c r="F60" i="30"/>
  <c r="G60" i="30"/>
  <c r="H60" i="30"/>
  <c r="I60" i="30"/>
  <c r="J60" i="30"/>
  <c r="K60" i="30"/>
  <c r="L60" i="30"/>
  <c r="AA26" i="31" s="1"/>
  <c r="M60" i="30"/>
  <c r="N60" i="30"/>
  <c r="O60" i="30"/>
  <c r="P60" i="30"/>
  <c r="Q60" i="30"/>
  <c r="R60" i="30"/>
  <c r="S60" i="30"/>
  <c r="T60" i="30"/>
  <c r="U60" i="30"/>
  <c r="V60" i="30"/>
  <c r="W60" i="30"/>
  <c r="X60" i="30"/>
  <c r="Y60" i="30"/>
  <c r="Z60" i="30"/>
  <c r="AA60" i="30"/>
  <c r="AB60" i="30"/>
  <c r="D61" i="30"/>
  <c r="E61" i="30"/>
  <c r="F61" i="30"/>
  <c r="G61" i="30"/>
  <c r="H61" i="30"/>
  <c r="I61" i="30"/>
  <c r="J61" i="30"/>
  <c r="K61" i="30"/>
  <c r="L61" i="30"/>
  <c r="AA27" i="31" s="1"/>
  <c r="M61" i="30"/>
  <c r="N61" i="30"/>
  <c r="O61" i="30"/>
  <c r="P61" i="30"/>
  <c r="Q61" i="30"/>
  <c r="R61" i="30"/>
  <c r="S61" i="30"/>
  <c r="T61" i="30"/>
  <c r="U61" i="30"/>
  <c r="V61" i="30"/>
  <c r="W61" i="30"/>
  <c r="X61" i="30"/>
  <c r="Y61" i="30"/>
  <c r="Z61" i="30"/>
  <c r="AA61" i="30"/>
  <c r="AB61" i="30"/>
  <c r="D62" i="30"/>
  <c r="E62" i="30"/>
  <c r="F62" i="30"/>
  <c r="G62" i="30"/>
  <c r="H62" i="30"/>
  <c r="I62" i="30"/>
  <c r="J62" i="30"/>
  <c r="K62" i="30"/>
  <c r="L62" i="30"/>
  <c r="AA28" i="31" s="1"/>
  <c r="M62" i="30"/>
  <c r="N62" i="30"/>
  <c r="O62" i="30"/>
  <c r="P62" i="30"/>
  <c r="Q62" i="30"/>
  <c r="R62" i="30"/>
  <c r="S62" i="30"/>
  <c r="T62" i="30"/>
  <c r="U62" i="30"/>
  <c r="V62" i="30"/>
  <c r="W62" i="30"/>
  <c r="X62" i="30"/>
  <c r="Y62" i="30"/>
  <c r="Z62" i="30"/>
  <c r="AA62" i="30"/>
  <c r="AB62" i="30"/>
  <c r="D63" i="30"/>
  <c r="E63" i="30"/>
  <c r="F63" i="30"/>
  <c r="G63" i="30"/>
  <c r="H63" i="30"/>
  <c r="I63" i="30"/>
  <c r="J63" i="30"/>
  <c r="K63" i="30"/>
  <c r="L63" i="30"/>
  <c r="AA29" i="31" s="1"/>
  <c r="M63" i="30"/>
  <c r="N63" i="30"/>
  <c r="O63" i="30"/>
  <c r="P63" i="30"/>
  <c r="Q63" i="30"/>
  <c r="R63" i="30"/>
  <c r="S63" i="30"/>
  <c r="T63" i="30"/>
  <c r="U63" i="30"/>
  <c r="V63" i="30"/>
  <c r="W63" i="30"/>
  <c r="X63" i="30"/>
  <c r="Y63" i="30"/>
  <c r="Z63" i="30"/>
  <c r="AA63" i="30"/>
  <c r="AB63" i="30"/>
  <c r="D64" i="30"/>
  <c r="E64" i="30"/>
  <c r="F64" i="30"/>
  <c r="G64" i="30"/>
  <c r="H64" i="30"/>
  <c r="I64" i="30"/>
  <c r="J64" i="30"/>
  <c r="K64" i="30"/>
  <c r="L64" i="30"/>
  <c r="AA30" i="31" s="1"/>
  <c r="M64" i="30"/>
  <c r="N64" i="30"/>
  <c r="O64" i="30"/>
  <c r="P64" i="30"/>
  <c r="Q64" i="30"/>
  <c r="R64" i="30"/>
  <c r="S64" i="30"/>
  <c r="T64" i="30"/>
  <c r="U64" i="30"/>
  <c r="V64" i="30"/>
  <c r="W64" i="30"/>
  <c r="X64" i="30"/>
  <c r="Y64" i="30"/>
  <c r="Z64" i="30"/>
  <c r="AA64" i="30"/>
  <c r="AB64" i="30"/>
  <c r="D65" i="30"/>
  <c r="E65" i="30"/>
  <c r="F65" i="30"/>
  <c r="G65" i="30"/>
  <c r="H65" i="30"/>
  <c r="I65" i="30"/>
  <c r="J65" i="30"/>
  <c r="K65" i="30"/>
  <c r="L65" i="30"/>
  <c r="AA31" i="31" s="1"/>
  <c r="M65" i="30"/>
  <c r="N65" i="30"/>
  <c r="O65" i="30"/>
  <c r="P65" i="30"/>
  <c r="Q65" i="30"/>
  <c r="R65" i="30"/>
  <c r="S65" i="30"/>
  <c r="T65" i="30"/>
  <c r="U65" i="30"/>
  <c r="V65" i="30"/>
  <c r="W65" i="30"/>
  <c r="X65" i="30"/>
  <c r="Y65" i="30"/>
  <c r="Z65" i="30"/>
  <c r="AA65" i="30"/>
  <c r="AB65" i="30"/>
  <c r="D66" i="30"/>
  <c r="E66" i="30"/>
  <c r="F66" i="30"/>
  <c r="G66" i="30"/>
  <c r="H66" i="30"/>
  <c r="I66" i="30"/>
  <c r="J66" i="30"/>
  <c r="K66" i="30"/>
  <c r="L66" i="30"/>
  <c r="AA32" i="31" s="1"/>
  <c r="M66" i="30"/>
  <c r="N66" i="30"/>
  <c r="O66" i="30"/>
  <c r="P66" i="30"/>
  <c r="Q66" i="30"/>
  <c r="R66" i="30"/>
  <c r="S66" i="30"/>
  <c r="T66" i="30"/>
  <c r="U66" i="30"/>
  <c r="V66" i="30"/>
  <c r="W66" i="30"/>
  <c r="X66" i="30"/>
  <c r="Y66" i="30"/>
  <c r="Z66" i="30"/>
  <c r="AA66" i="30"/>
  <c r="AB66" i="30"/>
  <c r="D67" i="30"/>
  <c r="E67" i="30"/>
  <c r="F67" i="30"/>
  <c r="G67" i="30"/>
  <c r="H67" i="30"/>
  <c r="I67" i="30"/>
  <c r="J67" i="30"/>
  <c r="K67" i="30"/>
  <c r="L67" i="30"/>
  <c r="AA33" i="31" s="1"/>
  <c r="M67" i="30"/>
  <c r="N67" i="30"/>
  <c r="O67" i="30"/>
  <c r="P67" i="30"/>
  <c r="Q67" i="30"/>
  <c r="R67" i="30"/>
  <c r="S67" i="30"/>
  <c r="T67" i="30"/>
  <c r="U67" i="30"/>
  <c r="V67" i="30"/>
  <c r="W67" i="30"/>
  <c r="X67" i="30"/>
  <c r="Y67" i="30"/>
  <c r="Z67" i="30"/>
  <c r="AA67" i="30"/>
  <c r="AB67" i="30"/>
  <c r="D68" i="30"/>
  <c r="E68" i="30"/>
  <c r="F68" i="30"/>
  <c r="G68" i="30"/>
  <c r="H68" i="30"/>
  <c r="I68" i="30"/>
  <c r="J68" i="30"/>
  <c r="K68" i="30"/>
  <c r="L68" i="30"/>
  <c r="AA34" i="31" s="1"/>
  <c r="M68" i="30"/>
  <c r="N68" i="30"/>
  <c r="O68" i="30"/>
  <c r="P68" i="30"/>
  <c r="Q68" i="30"/>
  <c r="R68" i="30"/>
  <c r="S68" i="30"/>
  <c r="T68" i="30"/>
  <c r="U68" i="30"/>
  <c r="V68" i="30"/>
  <c r="W68" i="30"/>
  <c r="X68" i="30"/>
  <c r="Y68" i="30"/>
  <c r="Z68" i="30"/>
  <c r="AA68" i="30"/>
  <c r="AB68" i="30"/>
  <c r="D69" i="30"/>
  <c r="E69" i="30"/>
  <c r="F69" i="30"/>
  <c r="G69" i="30"/>
  <c r="H69" i="30"/>
  <c r="I69" i="30"/>
  <c r="J69" i="30"/>
  <c r="K69" i="30"/>
  <c r="L69" i="30"/>
  <c r="AA35" i="31" s="1"/>
  <c r="M69" i="30"/>
  <c r="N69" i="30"/>
  <c r="O69" i="30"/>
  <c r="P69" i="30"/>
  <c r="Q69" i="30"/>
  <c r="R69" i="30"/>
  <c r="S69" i="30"/>
  <c r="T69" i="30"/>
  <c r="U69" i="30"/>
  <c r="V69" i="30"/>
  <c r="W69" i="30"/>
  <c r="X69" i="30"/>
  <c r="Y69" i="30"/>
  <c r="Z69" i="30"/>
  <c r="AA69" i="30"/>
  <c r="AB69" i="30"/>
  <c r="D70" i="30"/>
  <c r="E70" i="30"/>
  <c r="F70" i="30"/>
  <c r="G70" i="30"/>
  <c r="H70" i="30"/>
  <c r="I70" i="30"/>
  <c r="J70" i="30"/>
  <c r="K70" i="30"/>
  <c r="L70" i="30"/>
  <c r="AA36" i="31" s="1"/>
  <c r="M70" i="30"/>
  <c r="N70" i="30"/>
  <c r="O70" i="30"/>
  <c r="P70" i="30"/>
  <c r="Q70" i="30"/>
  <c r="R70" i="30"/>
  <c r="S70" i="30"/>
  <c r="T70" i="30"/>
  <c r="U70" i="30"/>
  <c r="V70" i="30"/>
  <c r="W70" i="30"/>
  <c r="X70" i="30"/>
  <c r="Y70" i="30"/>
  <c r="Z70" i="30"/>
  <c r="AA70" i="30"/>
  <c r="AB70" i="30"/>
  <c r="D71" i="30"/>
  <c r="E71" i="30"/>
  <c r="F71" i="30"/>
  <c r="G71" i="30"/>
  <c r="H71" i="30"/>
  <c r="I71" i="30"/>
  <c r="J71" i="30"/>
  <c r="K71" i="30"/>
  <c r="L71" i="30"/>
  <c r="AA37" i="31" s="1"/>
  <c r="M71" i="30"/>
  <c r="N71" i="30"/>
  <c r="O71" i="30"/>
  <c r="P71" i="30"/>
  <c r="Q71" i="30"/>
  <c r="R71" i="30"/>
  <c r="S71" i="30"/>
  <c r="T71" i="30"/>
  <c r="U71" i="30"/>
  <c r="V71" i="30"/>
  <c r="W71" i="30"/>
  <c r="X71" i="30"/>
  <c r="Y71" i="30"/>
  <c r="Z71" i="30"/>
  <c r="AA71" i="30"/>
  <c r="AB71" i="30"/>
  <c r="D72" i="30"/>
  <c r="E72" i="30"/>
  <c r="F72" i="30"/>
  <c r="G72" i="30"/>
  <c r="H72" i="30"/>
  <c r="I72" i="30"/>
  <c r="J72" i="30"/>
  <c r="K72" i="30"/>
  <c r="L72" i="30"/>
  <c r="AA38" i="31" s="1"/>
  <c r="M72" i="30"/>
  <c r="N72" i="30"/>
  <c r="O72" i="30"/>
  <c r="P72" i="30"/>
  <c r="Q72" i="30"/>
  <c r="R72" i="30"/>
  <c r="S72" i="30"/>
  <c r="T72" i="30"/>
  <c r="U72" i="30"/>
  <c r="V72" i="30"/>
  <c r="W72" i="30"/>
  <c r="X72" i="30"/>
  <c r="Y72" i="30"/>
  <c r="Z72" i="30"/>
  <c r="AA72" i="30"/>
  <c r="AB72" i="30"/>
  <c r="D73" i="30"/>
  <c r="E73" i="30"/>
  <c r="F73" i="30"/>
  <c r="G73" i="30"/>
  <c r="H73" i="30"/>
  <c r="I73" i="30"/>
  <c r="J73" i="30"/>
  <c r="K73" i="30"/>
  <c r="L73" i="30"/>
  <c r="M73" i="30"/>
  <c r="N73" i="30"/>
  <c r="O73" i="30"/>
  <c r="P73" i="30"/>
  <c r="Q73" i="30"/>
  <c r="R73" i="30"/>
  <c r="S73" i="30"/>
  <c r="T73" i="30"/>
  <c r="U73" i="30"/>
  <c r="V73" i="30"/>
  <c r="W73" i="30"/>
  <c r="X73" i="30"/>
  <c r="Y73" i="30"/>
  <c r="Z73" i="30"/>
  <c r="AA73" i="30"/>
  <c r="C42" i="30"/>
  <c r="C43" i="30"/>
  <c r="C44" i="30"/>
  <c r="C45" i="30"/>
  <c r="C46" i="30"/>
  <c r="C47" i="30"/>
  <c r="C48" i="30"/>
  <c r="C49" i="30"/>
  <c r="C50" i="30"/>
  <c r="C51" i="30"/>
  <c r="C52" i="30"/>
  <c r="C53" i="30"/>
  <c r="C54" i="30"/>
  <c r="C55" i="30"/>
  <c r="C56" i="30"/>
  <c r="C57" i="30"/>
  <c r="C58" i="30"/>
  <c r="C59" i="30"/>
  <c r="C60" i="30"/>
  <c r="C61" i="30"/>
  <c r="C62" i="30"/>
  <c r="C63" i="30"/>
  <c r="C64" i="30"/>
  <c r="C65" i="30"/>
  <c r="C66" i="30"/>
  <c r="C67" i="30"/>
  <c r="C68" i="30"/>
  <c r="C69" i="30"/>
  <c r="C70" i="30"/>
  <c r="C71" i="30"/>
  <c r="C72" i="30"/>
  <c r="C73" i="30"/>
  <c r="AB36" i="30"/>
  <c r="AB73" i="30" s="1"/>
  <c r="AC6" i="30"/>
  <c r="AC43" i="30" s="1"/>
  <c r="AB9" i="31" s="1"/>
  <c r="AC7" i="30"/>
  <c r="AC44" i="30" s="1"/>
  <c r="AB10" i="31" s="1"/>
  <c r="AC8" i="30"/>
  <c r="AC45" i="30" s="1"/>
  <c r="AC9" i="30"/>
  <c r="AC46" i="30" s="1"/>
  <c r="AB12" i="31" s="1"/>
  <c r="AC10" i="30"/>
  <c r="AC47" i="30" s="1"/>
  <c r="AB13" i="31" s="1"/>
  <c r="AC11" i="30"/>
  <c r="AC48" i="30" s="1"/>
  <c r="AB14" i="31" s="1"/>
  <c r="AC12" i="30"/>
  <c r="AC49" i="30" s="1"/>
  <c r="AB15" i="31" s="1"/>
  <c r="AC13" i="30"/>
  <c r="AC50" i="30" s="1"/>
  <c r="AB16" i="31" s="1"/>
  <c r="AC14" i="30"/>
  <c r="AC51" i="30" s="1"/>
  <c r="AB17" i="31" s="1"/>
  <c r="AC15" i="30"/>
  <c r="AC52" i="30" s="1"/>
  <c r="AB18" i="31" s="1"/>
  <c r="AC16" i="30"/>
  <c r="AC53" i="30" s="1"/>
  <c r="AB19" i="31" s="1"/>
  <c r="AC17" i="30"/>
  <c r="AC54" i="30" s="1"/>
  <c r="AB20" i="31" s="1"/>
  <c r="AC18" i="30"/>
  <c r="AC55" i="30" s="1"/>
  <c r="AB21" i="31" s="1"/>
  <c r="AC19" i="30"/>
  <c r="AC56" i="30" s="1"/>
  <c r="AB22" i="31" s="1"/>
  <c r="AC20" i="30"/>
  <c r="AC57" i="30" s="1"/>
  <c r="AB23" i="31" s="1"/>
  <c r="AC21" i="30"/>
  <c r="AC58" i="30" s="1"/>
  <c r="AB24" i="31" s="1"/>
  <c r="AC22" i="30"/>
  <c r="AC59" i="30" s="1"/>
  <c r="AB25" i="31" s="1"/>
  <c r="AC23" i="30"/>
  <c r="AC60" i="30" s="1"/>
  <c r="AB26" i="31" s="1"/>
  <c r="AC24" i="30"/>
  <c r="AC61" i="30" s="1"/>
  <c r="AB27" i="31" s="1"/>
  <c r="AC25" i="30"/>
  <c r="AC62" i="30" s="1"/>
  <c r="AB28" i="31" s="1"/>
  <c r="AC26" i="30"/>
  <c r="AC63" i="30" s="1"/>
  <c r="AB29" i="31" s="1"/>
  <c r="AC27" i="30"/>
  <c r="AC64" i="30" s="1"/>
  <c r="AB30" i="31" s="1"/>
  <c r="AC28" i="30"/>
  <c r="AC65" i="30" s="1"/>
  <c r="AC29" i="30"/>
  <c r="AC66" i="30" s="1"/>
  <c r="AB32" i="31" s="1"/>
  <c r="AC30" i="30"/>
  <c r="AC67" i="30" s="1"/>
  <c r="AB33" i="31" s="1"/>
  <c r="AC31" i="30"/>
  <c r="AC68" i="30" s="1"/>
  <c r="AB34" i="31" s="1"/>
  <c r="AC32" i="30"/>
  <c r="AC69" i="30" s="1"/>
  <c r="AB35" i="31" s="1"/>
  <c r="AC33" i="30"/>
  <c r="AC70" i="30" s="1"/>
  <c r="AB36" i="31" s="1"/>
  <c r="AC34" i="30"/>
  <c r="AC71" i="30" s="1"/>
  <c r="AB37" i="31" s="1"/>
  <c r="AC35" i="30"/>
  <c r="AC72" i="30" s="1"/>
  <c r="AB38" i="31" s="1"/>
  <c r="AC5" i="30"/>
  <c r="AC42" i="30" s="1"/>
  <c r="AB8" i="31" s="1"/>
  <c r="D37" i="31" l="1"/>
  <c r="V6" i="31" s="1"/>
  <c r="AB31" i="31"/>
  <c r="AB11" i="31"/>
  <c r="C37" i="31"/>
  <c r="U6" i="31" s="1"/>
  <c r="AE42" i="30"/>
  <c r="AC36" i="30"/>
  <c r="AC73" i="30" s="1"/>
  <c r="M5" i="1"/>
  <c r="K5" i="1"/>
  <c r="J5" i="1"/>
  <c r="N5" i="2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K4" i="21"/>
  <c r="I85" i="1"/>
  <c r="G85" i="1"/>
  <c r="F85" i="1"/>
  <c r="E85" i="1"/>
  <c r="I84" i="1"/>
  <c r="G84" i="1"/>
  <c r="F84" i="1"/>
  <c r="E84" i="1"/>
  <c r="H85" i="1"/>
  <c r="H84" i="1"/>
  <c r="M4" i="21"/>
  <c r="K5" i="21"/>
  <c r="L5" i="21"/>
  <c r="K6" i="21"/>
  <c r="M6" i="21" s="1"/>
  <c r="L6" i="21"/>
  <c r="K7" i="21"/>
  <c r="L7" i="21"/>
  <c r="K8" i="21"/>
  <c r="M8" i="21" s="1"/>
  <c r="L8" i="21"/>
  <c r="K9" i="21"/>
  <c r="M9" i="21" s="1"/>
  <c r="L9" i="21"/>
  <c r="K10" i="21"/>
  <c r="M10" i="21" s="1"/>
  <c r="L10" i="21"/>
  <c r="K11" i="21"/>
  <c r="M11" i="21" s="1"/>
  <c r="L11" i="21"/>
  <c r="K12" i="21"/>
  <c r="M12" i="21" s="1"/>
  <c r="L12" i="21"/>
  <c r="K13" i="21"/>
  <c r="M13" i="21" s="1"/>
  <c r="L13" i="21"/>
  <c r="K14" i="21"/>
  <c r="M14" i="21" s="1"/>
  <c r="L14" i="21"/>
  <c r="K15" i="21"/>
  <c r="M15" i="21" s="1"/>
  <c r="L15" i="21"/>
  <c r="K16" i="21"/>
  <c r="M16" i="21" s="1"/>
  <c r="L16" i="21"/>
  <c r="K17" i="21"/>
  <c r="M17" i="21" s="1"/>
  <c r="L17" i="21"/>
  <c r="K18" i="21"/>
  <c r="M18" i="21" s="1"/>
  <c r="L18" i="21"/>
  <c r="K19" i="21"/>
  <c r="M19" i="21" s="1"/>
  <c r="L19" i="21"/>
  <c r="K20" i="21"/>
  <c r="M20" i="21" s="1"/>
  <c r="L20" i="21"/>
  <c r="K21" i="21"/>
  <c r="M21" i="21" s="1"/>
  <c r="L21" i="21"/>
  <c r="K22" i="21"/>
  <c r="M22" i="21" s="1"/>
  <c r="L22" i="21"/>
  <c r="K23" i="21"/>
  <c r="M23" i="21" s="1"/>
  <c r="L23" i="21"/>
  <c r="K24" i="21"/>
  <c r="M24" i="21" s="1"/>
  <c r="L24" i="21"/>
  <c r="K25" i="21"/>
  <c r="M25" i="21" s="1"/>
  <c r="L25" i="21"/>
  <c r="K26" i="21"/>
  <c r="M26" i="21" s="1"/>
  <c r="L26" i="21"/>
  <c r="K27" i="21"/>
  <c r="M27" i="21" s="1"/>
  <c r="L27" i="21"/>
  <c r="K28" i="21"/>
  <c r="M28" i="21" s="1"/>
  <c r="L28" i="21"/>
  <c r="K29" i="21"/>
  <c r="M29" i="21" s="1"/>
  <c r="L29" i="21"/>
  <c r="K30" i="21"/>
  <c r="M30" i="21" s="1"/>
  <c r="L30" i="21"/>
  <c r="K31" i="21"/>
  <c r="M31" i="21" s="1"/>
  <c r="L31" i="21"/>
  <c r="K32" i="21"/>
  <c r="M32" i="21" s="1"/>
  <c r="L32" i="21"/>
  <c r="K33" i="21"/>
  <c r="M33" i="21" s="1"/>
  <c r="L33" i="21"/>
  <c r="K34" i="21"/>
  <c r="M34" i="21" s="1"/>
  <c r="L34" i="21"/>
  <c r="K35" i="21"/>
  <c r="M35" i="21" s="1"/>
  <c r="L35" i="21"/>
  <c r="K36" i="21"/>
  <c r="M36" i="21" s="1"/>
  <c r="L36" i="21"/>
  <c r="K37" i="21"/>
  <c r="M37" i="21" s="1"/>
  <c r="L37" i="21"/>
  <c r="K38" i="21"/>
  <c r="M38" i="21" s="1"/>
  <c r="L38" i="21"/>
  <c r="K39" i="21"/>
  <c r="M39" i="21" s="1"/>
  <c r="L39" i="21"/>
  <c r="K40" i="21"/>
  <c r="M40" i="21" s="1"/>
  <c r="L40" i="21"/>
  <c r="K41" i="21"/>
  <c r="M41" i="21" s="1"/>
  <c r="L41" i="21"/>
  <c r="K42" i="21"/>
  <c r="M42" i="21" s="1"/>
  <c r="L42" i="21"/>
  <c r="K43" i="21"/>
  <c r="M43" i="21" s="1"/>
  <c r="L43" i="21"/>
  <c r="K44" i="21"/>
  <c r="M44" i="21" s="1"/>
  <c r="L44" i="21"/>
  <c r="K45" i="21"/>
  <c r="M45" i="21" s="1"/>
  <c r="L45" i="21"/>
  <c r="K46" i="21"/>
  <c r="M46" i="21" s="1"/>
  <c r="L46" i="21"/>
  <c r="K47" i="21"/>
  <c r="M47" i="21" s="1"/>
  <c r="L47" i="21"/>
  <c r="K48" i="21"/>
  <c r="M48" i="21" s="1"/>
  <c r="L48" i="21"/>
  <c r="K49" i="21"/>
  <c r="M49" i="21" s="1"/>
  <c r="L49" i="21"/>
  <c r="K50" i="21"/>
  <c r="M50" i="21" s="1"/>
  <c r="L50" i="21"/>
  <c r="K51" i="21"/>
  <c r="M51" i="21" s="1"/>
  <c r="L51" i="21"/>
  <c r="K52" i="21"/>
  <c r="M52" i="21" s="1"/>
  <c r="L52" i="21"/>
  <c r="K53" i="21"/>
  <c r="M53" i="21" s="1"/>
  <c r="L53" i="21"/>
  <c r="K54" i="21"/>
  <c r="M54" i="21" s="1"/>
  <c r="L54" i="21"/>
  <c r="K55" i="21"/>
  <c r="M55" i="21" s="1"/>
  <c r="L55" i="21"/>
  <c r="K56" i="21"/>
  <c r="M56" i="21" s="1"/>
  <c r="L56" i="21"/>
  <c r="K57" i="21"/>
  <c r="M57" i="21" s="1"/>
  <c r="L57" i="21"/>
  <c r="K58" i="21"/>
  <c r="M58" i="21" s="1"/>
  <c r="L58" i="21"/>
  <c r="K59" i="21"/>
  <c r="M59" i="21" s="1"/>
  <c r="L59" i="21"/>
  <c r="K60" i="21"/>
  <c r="M60" i="21" s="1"/>
  <c r="L60" i="21"/>
  <c r="K61" i="21"/>
  <c r="M61" i="21" s="1"/>
  <c r="L61" i="21"/>
  <c r="K62" i="21"/>
  <c r="M62" i="21" s="1"/>
  <c r="L62" i="21"/>
  <c r="K63" i="21"/>
  <c r="M63" i="21" s="1"/>
  <c r="L63" i="21"/>
  <c r="K64" i="21"/>
  <c r="M64" i="21" s="1"/>
  <c r="L64" i="21"/>
  <c r="K65" i="21"/>
  <c r="M65" i="21" s="1"/>
  <c r="L65" i="21"/>
  <c r="K66" i="21"/>
  <c r="M66" i="21" s="1"/>
  <c r="L66" i="21"/>
  <c r="K67" i="21"/>
  <c r="M67" i="21" s="1"/>
  <c r="L67" i="21"/>
  <c r="K68" i="21"/>
  <c r="M68" i="21" s="1"/>
  <c r="L68" i="21"/>
  <c r="K69" i="21"/>
  <c r="M69" i="21" s="1"/>
  <c r="L69" i="21"/>
  <c r="K70" i="21"/>
  <c r="M70" i="21" s="1"/>
  <c r="L70" i="21"/>
  <c r="K71" i="21"/>
  <c r="M71" i="21" s="1"/>
  <c r="L71" i="21"/>
  <c r="K72" i="21"/>
  <c r="M72" i="21" s="1"/>
  <c r="L72" i="21"/>
  <c r="K73" i="21"/>
  <c r="M73" i="21" s="1"/>
  <c r="L73" i="21"/>
  <c r="K74" i="21"/>
  <c r="M74" i="21" s="1"/>
  <c r="L74" i="21"/>
  <c r="K75" i="21"/>
  <c r="M75" i="21" s="1"/>
  <c r="L75" i="21"/>
  <c r="K76" i="21"/>
  <c r="M76" i="21" s="1"/>
  <c r="L76" i="21"/>
  <c r="K77" i="21"/>
  <c r="M77" i="21" s="1"/>
  <c r="L77" i="21"/>
  <c r="K78" i="21"/>
  <c r="M78" i="21" s="1"/>
  <c r="L78" i="21"/>
  <c r="K79" i="21"/>
  <c r="M79" i="21" s="1"/>
  <c r="L79" i="21"/>
  <c r="K80" i="21"/>
  <c r="M80" i="21" s="1"/>
  <c r="L80" i="21"/>
  <c r="K81" i="21"/>
  <c r="M81" i="21" s="1"/>
  <c r="L81" i="21"/>
  <c r="K82" i="21"/>
  <c r="M82" i="21" s="1"/>
  <c r="L82" i="21"/>
  <c r="L4" i="21"/>
  <c r="S5" i="1"/>
  <c r="L84" i="21" l="1"/>
  <c r="N83" i="21"/>
  <c r="N84" i="21"/>
  <c r="L83" i="21"/>
  <c r="K84" i="21"/>
  <c r="M84" i="21" s="1"/>
  <c r="K83" i="21"/>
  <c r="M83" i="21" s="1"/>
  <c r="M7" i="21"/>
  <c r="M5" i="21"/>
  <c r="D10" i="31"/>
  <c r="K6" i="31" s="1"/>
  <c r="C10" i="31"/>
  <c r="G8" i="31" s="1"/>
  <c r="AE72" i="30"/>
  <c r="AE71" i="30"/>
  <c r="AE70" i="30"/>
  <c r="AE69" i="30"/>
  <c r="AE68" i="30"/>
  <c r="AE67" i="30"/>
  <c r="AE66" i="30"/>
  <c r="D35" i="31"/>
  <c r="D34" i="31"/>
  <c r="D33" i="31"/>
  <c r="D32" i="31"/>
  <c r="D31" i="31"/>
  <c r="D30" i="31"/>
  <c r="D29" i="31"/>
  <c r="D28" i="31"/>
  <c r="D27" i="31"/>
  <c r="D26" i="31"/>
  <c r="D25" i="31"/>
  <c r="D24" i="31"/>
  <c r="D23" i="31"/>
  <c r="D22" i="31"/>
  <c r="D21" i="31"/>
  <c r="D19" i="31"/>
  <c r="D18" i="31"/>
  <c r="D17" i="31"/>
  <c r="D16" i="31"/>
  <c r="D15" i="31"/>
  <c r="D14" i="31"/>
  <c r="D13" i="31"/>
  <c r="D12" i="31"/>
  <c r="D11" i="31"/>
  <c r="AE64" i="30"/>
  <c r="AE63" i="30"/>
  <c r="AE62" i="30"/>
  <c r="AE61" i="30"/>
  <c r="AE60" i="30"/>
  <c r="AE59" i="30"/>
  <c r="AE58" i="30"/>
  <c r="AE57" i="30"/>
  <c r="AE56" i="30"/>
  <c r="AE55" i="30"/>
  <c r="AE54" i="30"/>
  <c r="AE53" i="30"/>
  <c r="AE52" i="30"/>
  <c r="AE51" i="30"/>
  <c r="AE50" i="30"/>
  <c r="AE49" i="30"/>
  <c r="AE48" i="30"/>
  <c r="AE47" i="30"/>
  <c r="AE46" i="30"/>
  <c r="C35" i="31"/>
  <c r="C34" i="31"/>
  <c r="C33" i="31"/>
  <c r="C32" i="31"/>
  <c r="C31" i="31"/>
  <c r="C30" i="31"/>
  <c r="C29" i="31"/>
  <c r="C28" i="31"/>
  <c r="C27" i="31"/>
  <c r="C26" i="31"/>
  <c r="C25" i="31"/>
  <c r="C24" i="31"/>
  <c r="C23" i="31"/>
  <c r="C22" i="31"/>
  <c r="C21" i="31"/>
  <c r="C19" i="31"/>
  <c r="C18" i="31"/>
  <c r="C17" i="31"/>
  <c r="C16" i="31"/>
  <c r="C15" i="31"/>
  <c r="C14" i="31"/>
  <c r="C13" i="31"/>
  <c r="C12" i="31"/>
  <c r="C11" i="31"/>
  <c r="AE44" i="30"/>
  <c r="AE43" i="30"/>
  <c r="V3" i="31" l="1"/>
  <c r="K4" i="31"/>
  <c r="U3" i="31"/>
  <c r="AE73" i="30"/>
  <c r="C20" i="31"/>
  <c r="U4" i="31" s="1"/>
  <c r="L4" i="31" s="1"/>
  <c r="C36" i="31"/>
  <c r="AE45" i="30"/>
  <c r="C40" i="31" s="1"/>
  <c r="AC9" i="31"/>
  <c r="AD9" i="31" s="1"/>
  <c r="AE9" i="31" s="1"/>
  <c r="AF9" i="31" s="1"/>
  <c r="AC13" i="31"/>
  <c r="AD13" i="31" s="1"/>
  <c r="AE13" i="31" s="1"/>
  <c r="AF13" i="31" s="1"/>
  <c r="AC17" i="31"/>
  <c r="AD17" i="31" s="1"/>
  <c r="AE17" i="31" s="1"/>
  <c r="AF17" i="31" s="1"/>
  <c r="AC21" i="31"/>
  <c r="AD21" i="31" s="1"/>
  <c r="AE21" i="31" s="1"/>
  <c r="AF21" i="31" s="1"/>
  <c r="AC25" i="31"/>
  <c r="AD25" i="31" s="1"/>
  <c r="AE25" i="31" s="1"/>
  <c r="AF25" i="31" s="1"/>
  <c r="AC29" i="31"/>
  <c r="AD29" i="31" s="1"/>
  <c r="AE29" i="31" s="1"/>
  <c r="AF29" i="31" s="1"/>
  <c r="AC33" i="31"/>
  <c r="AD33" i="31" s="1"/>
  <c r="AE33" i="31" s="1"/>
  <c r="AF33" i="31" s="1"/>
  <c r="AC37" i="31"/>
  <c r="AD37" i="31" s="1"/>
  <c r="AE37" i="31" s="1"/>
  <c r="AF37" i="31" s="1"/>
  <c r="AC12" i="31"/>
  <c r="AD12" i="31" s="1"/>
  <c r="AE12" i="31" s="1"/>
  <c r="AF12" i="31" s="1"/>
  <c r="AC16" i="31"/>
  <c r="AD16" i="31" s="1"/>
  <c r="AE16" i="31" s="1"/>
  <c r="AF16" i="31" s="1"/>
  <c r="AC20" i="31"/>
  <c r="AD20" i="31" s="1"/>
  <c r="AE20" i="31" s="1"/>
  <c r="AF20" i="31" s="1"/>
  <c r="AC24" i="31"/>
  <c r="AD24" i="31" s="1"/>
  <c r="AE24" i="31" s="1"/>
  <c r="AF24" i="31" s="1"/>
  <c r="AC28" i="31"/>
  <c r="AD28" i="31" s="1"/>
  <c r="AE28" i="31" s="1"/>
  <c r="AF28" i="31" s="1"/>
  <c r="AC32" i="31"/>
  <c r="AD32" i="31" s="1"/>
  <c r="AE32" i="31" s="1"/>
  <c r="AF32" i="31" s="1"/>
  <c r="AC36" i="31"/>
  <c r="AD36" i="31" s="1"/>
  <c r="AE36" i="31" s="1"/>
  <c r="AF36" i="31" s="1"/>
  <c r="AC8" i="31"/>
  <c r="AD8" i="31" s="1"/>
  <c r="AE8" i="31" s="1"/>
  <c r="AF8" i="31" s="1"/>
  <c r="AC15" i="31"/>
  <c r="AD15" i="31" s="1"/>
  <c r="AE15" i="31" s="1"/>
  <c r="AF15" i="31" s="1"/>
  <c r="AC19" i="31"/>
  <c r="AD19" i="31" s="1"/>
  <c r="AE19" i="31" s="1"/>
  <c r="AF19" i="31" s="1"/>
  <c r="AC23" i="31"/>
  <c r="AD23" i="31" s="1"/>
  <c r="AE23" i="31" s="1"/>
  <c r="AF23" i="31" s="1"/>
  <c r="AC27" i="31"/>
  <c r="AD27" i="31" s="1"/>
  <c r="AE27" i="31" s="1"/>
  <c r="AF27" i="31" s="1"/>
  <c r="D20" i="31"/>
  <c r="V4" i="31" s="1"/>
  <c r="D36" i="31"/>
  <c r="AC31" i="31"/>
  <c r="AD31" i="31" s="1"/>
  <c r="AE31" i="31" s="1"/>
  <c r="AF31" i="31" s="1"/>
  <c r="AC35" i="31"/>
  <c r="AD35" i="31" s="1"/>
  <c r="AE35" i="31" s="1"/>
  <c r="AF35" i="31" s="1"/>
  <c r="AC10" i="31"/>
  <c r="AD10" i="31" s="1"/>
  <c r="AE10" i="31" s="1"/>
  <c r="AF10" i="31" s="1"/>
  <c r="AC14" i="31"/>
  <c r="AD14" i="31" s="1"/>
  <c r="AE14" i="31" s="1"/>
  <c r="AF14" i="31" s="1"/>
  <c r="AC18" i="31"/>
  <c r="AD18" i="31" s="1"/>
  <c r="AE18" i="31" s="1"/>
  <c r="AF18" i="31" s="1"/>
  <c r="AC22" i="31"/>
  <c r="AD22" i="31" s="1"/>
  <c r="AE22" i="31" s="1"/>
  <c r="AF22" i="31" s="1"/>
  <c r="AC26" i="31"/>
  <c r="AD26" i="31" s="1"/>
  <c r="AE26" i="31" s="1"/>
  <c r="AF26" i="31" s="1"/>
  <c r="AC30" i="31"/>
  <c r="AD30" i="31" s="1"/>
  <c r="AE30" i="31" s="1"/>
  <c r="AF30" i="31" s="1"/>
  <c r="AE65" i="30"/>
  <c r="D40" i="31" s="1"/>
  <c r="AC34" i="31"/>
  <c r="AD34" i="31" s="1"/>
  <c r="AE34" i="31" s="1"/>
  <c r="AF34" i="31" s="1"/>
  <c r="AC38" i="31"/>
  <c r="AD38" i="31" s="1"/>
  <c r="AE38" i="31" s="1"/>
  <c r="AF38" i="31" s="1"/>
  <c r="N6" i="31" l="1"/>
  <c r="L6" i="31"/>
  <c r="AC11" i="31"/>
  <c r="AD11" i="31" s="1"/>
  <c r="AE11" i="31" s="1"/>
  <c r="AF11" i="31" s="1"/>
  <c r="AG11" i="31" s="1"/>
  <c r="N4" i="31"/>
  <c r="AG27" i="31" l="1"/>
  <c r="AG21" i="31"/>
  <c r="AG12" i="31"/>
  <c r="AG22" i="31"/>
  <c r="AG13" i="31"/>
  <c r="AG19" i="31"/>
  <c r="AG36" i="31"/>
  <c r="AG37" i="31"/>
  <c r="AG28" i="31"/>
  <c r="AG29" i="31"/>
  <c r="AG10" i="31"/>
  <c r="AG23" i="31"/>
  <c r="AG30" i="31"/>
  <c r="AG8" i="31"/>
  <c r="AG25" i="31"/>
  <c r="AG35" i="31"/>
  <c r="AG32" i="31"/>
  <c r="AG38" i="31"/>
  <c r="AG20" i="31"/>
  <c r="AG14" i="31"/>
  <c r="AG18" i="31"/>
  <c r="AG34" i="31"/>
  <c r="AG17" i="31"/>
  <c r="AG24" i="31"/>
  <c r="AG9" i="31"/>
  <c r="AG15" i="31"/>
  <c r="AG16" i="31"/>
  <c r="AG26" i="31"/>
  <c r="AG33" i="31"/>
  <c r="AG31" i="31"/>
  <c r="AI8" i="31" l="1"/>
  <c r="AH37" i="31"/>
  <c r="AI36" i="31"/>
  <c r="AH35" i="31"/>
  <c r="AI32" i="31"/>
  <c r="AH31" i="31"/>
  <c r="AI28" i="31"/>
  <c r="AH27" i="31"/>
  <c r="AI24" i="31"/>
  <c r="AH23" i="31"/>
  <c r="AI20" i="31"/>
  <c r="AH19" i="31"/>
  <c r="AI16" i="31"/>
  <c r="AH15" i="31"/>
  <c r="AI12" i="31"/>
  <c r="AH11" i="31"/>
  <c r="AH36" i="31"/>
  <c r="AI33" i="31"/>
  <c r="AH32" i="31"/>
  <c r="AI29" i="31"/>
  <c r="AH28" i="31"/>
  <c r="AI25" i="31"/>
  <c r="AH24" i="31"/>
  <c r="AI21" i="31"/>
  <c r="AH20" i="31"/>
  <c r="AI17" i="31"/>
  <c r="AH16" i="31"/>
  <c r="AI13" i="31"/>
  <c r="AH12" i="31"/>
  <c r="AI9" i="31"/>
  <c r="AI38" i="31"/>
  <c r="AI34" i="31"/>
  <c r="AH33" i="31"/>
  <c r="AI30" i="31"/>
  <c r="AH29" i="31"/>
  <c r="AI26" i="31"/>
  <c r="AH25" i="31"/>
  <c r="AI22" i="31"/>
  <c r="AH21" i="31"/>
  <c r="AI18" i="31"/>
  <c r="AH17" i="31"/>
  <c r="AI14" i="31"/>
  <c r="AH13" i="31"/>
  <c r="AI10" i="31"/>
  <c r="AH9" i="31"/>
  <c r="AH38" i="31"/>
  <c r="AI37" i="31"/>
  <c r="AI35" i="31"/>
  <c r="AH34" i="31"/>
  <c r="AI31" i="31"/>
  <c r="AH30" i="31"/>
  <c r="AI27" i="31"/>
  <c r="AH26" i="31"/>
  <c r="AI23" i="31"/>
  <c r="AH22" i="31"/>
  <c r="AI19" i="31"/>
  <c r="AH18" i="31"/>
  <c r="AI15" i="31"/>
  <c r="AH14" i="31"/>
  <c r="AI11" i="31"/>
  <c r="AH10" i="31"/>
  <c r="AH8" i="31"/>
  <c r="F15" i="2" l="1"/>
  <c r="B15" i="2"/>
  <c r="J4" i="20" l="1"/>
  <c r="N4" i="20"/>
  <c r="M4" i="20"/>
  <c r="L4" i="20"/>
  <c r="K4" i="20"/>
  <c r="I4" i="20"/>
  <c r="F3" i="20" s="1"/>
  <c r="H4" i="20"/>
  <c r="C95" i="1"/>
  <c r="C93" i="1"/>
  <c r="C92"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H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H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H92" i="1"/>
  <c r="G92" i="1"/>
  <c r="F92" i="1"/>
  <c r="E92" i="1"/>
  <c r="D92" i="1"/>
  <c r="B92" i="1"/>
  <c r="J19" i="1" l="1"/>
  <c r="K21" i="1"/>
  <c r="L20" i="1"/>
  <c r="M18" i="1"/>
  <c r="H96" i="1" s="1"/>
  <c r="P16" i="1"/>
  <c r="R5" i="1" l="1"/>
  <c r="S26" i="1" l="1"/>
  <c r="K99" i="1" s="1"/>
  <c r="R26" i="1"/>
  <c r="K98" i="1" s="1"/>
  <c r="P26" i="1"/>
  <c r="K97" i="1" s="1"/>
  <c r="O26" i="1"/>
  <c r="M26" i="1"/>
  <c r="K96" i="1" s="1"/>
  <c r="L26" i="1"/>
  <c r="K26" i="1"/>
  <c r="J26" i="1"/>
  <c r="G4" i="23" l="1"/>
  <c r="AA8" i="22"/>
  <c r="AA7" i="22"/>
  <c r="AA6" i="22"/>
  <c r="AA5" i="22"/>
  <c r="Z8" i="22"/>
  <c r="Z7" i="22"/>
  <c r="Z6" i="22"/>
  <c r="Z5" i="22"/>
  <c r="Y8" i="22"/>
  <c r="Y7" i="22"/>
  <c r="Y6" i="22"/>
  <c r="Y5" i="22"/>
  <c r="X8" i="22"/>
  <c r="X7" i="22"/>
  <c r="X6" i="22"/>
  <c r="X5" i="22"/>
  <c r="W5" i="22"/>
  <c r="O5" i="1" l="1"/>
  <c r="M6" i="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L5" i="1"/>
  <c r="L6" i="1"/>
  <c r="L7" i="1"/>
  <c r="L8" i="1"/>
  <c r="L9" i="1"/>
  <c r="L10" i="1"/>
  <c r="L11" i="1"/>
  <c r="L12" i="1"/>
  <c r="L13" i="1"/>
  <c r="L14" i="1"/>
  <c r="L15" i="1"/>
  <c r="L16" i="1"/>
  <c r="L17" i="1"/>
  <c r="L18" i="1"/>
  <c r="L19" i="1"/>
  <c r="L21" i="1"/>
  <c r="L22" i="1"/>
  <c r="L23" i="1"/>
  <c r="L24" i="1"/>
  <c r="L25"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Z96" i="1" l="1"/>
  <c r="AA9" i="22" s="1"/>
  <c r="Y96" i="1"/>
  <c r="Z9" i="22" s="1"/>
  <c r="N27" i="1"/>
  <c r="X96" i="1"/>
  <c r="Y9" i="22" s="1"/>
  <c r="W96" i="1"/>
  <c r="X9" i="22" s="1"/>
  <c r="N5" i="1"/>
  <c r="W8" i="22" l="1"/>
  <c r="W7" i="22"/>
  <c r="W6" i="22"/>
  <c r="W9" i="22"/>
  <c r="F5" i="2" l="1"/>
  <c r="A5" i="2"/>
  <c r="F12" i="2"/>
  <c r="F10" i="2"/>
  <c r="F9" i="2"/>
  <c r="B12" i="2"/>
  <c r="C6" i="22"/>
  <c r="C7" i="22"/>
  <c r="C8" i="22"/>
  <c r="C9" i="22"/>
  <c r="C10" i="22"/>
  <c r="C11" i="22"/>
  <c r="C12" i="22"/>
  <c r="C5" i="22"/>
  <c r="AH8" i="22"/>
  <c r="AG8" i="22"/>
  <c r="AF8" i="22"/>
  <c r="AE8" i="22"/>
  <c r="AD8" i="22"/>
  <c r="AC8" i="22"/>
  <c r="AB8" i="22"/>
  <c r="V8" i="22"/>
  <c r="U8" i="22"/>
  <c r="T8" i="22"/>
  <c r="S8" i="22"/>
  <c r="R8" i="22"/>
  <c r="Q8" i="22"/>
  <c r="P8" i="22"/>
  <c r="O8" i="22"/>
  <c r="N8" i="22"/>
  <c r="M8" i="22"/>
  <c r="L8" i="22"/>
  <c r="K8" i="22"/>
  <c r="J8" i="22"/>
  <c r="I8" i="22"/>
  <c r="H8" i="22"/>
  <c r="G8" i="22"/>
  <c r="F8" i="22"/>
  <c r="E8" i="22"/>
  <c r="D8" i="22"/>
  <c r="AH7" i="22"/>
  <c r="AG7" i="22"/>
  <c r="AF7" i="22"/>
  <c r="AE7" i="22"/>
  <c r="AD7" i="22"/>
  <c r="AC7" i="22"/>
  <c r="AB7" i="22"/>
  <c r="V7" i="22"/>
  <c r="U7" i="22"/>
  <c r="T7" i="22"/>
  <c r="S7" i="22"/>
  <c r="R7" i="22"/>
  <c r="Q7" i="22"/>
  <c r="P7" i="22"/>
  <c r="O7" i="22"/>
  <c r="N7" i="22"/>
  <c r="M7" i="22"/>
  <c r="L7" i="22"/>
  <c r="K7" i="22"/>
  <c r="J7" i="22"/>
  <c r="I7" i="22"/>
  <c r="H7" i="22"/>
  <c r="G7" i="22"/>
  <c r="F7" i="22"/>
  <c r="E7" i="22"/>
  <c r="D7" i="22"/>
  <c r="AH6" i="22"/>
  <c r="AG6" i="22"/>
  <c r="AF6" i="22"/>
  <c r="AE6" i="22"/>
  <c r="AD6" i="22"/>
  <c r="AC6" i="22"/>
  <c r="AB6" i="22"/>
  <c r="V6" i="22"/>
  <c r="U6" i="22"/>
  <c r="T6" i="22"/>
  <c r="S6" i="22"/>
  <c r="R6" i="22"/>
  <c r="Q6" i="22"/>
  <c r="P6" i="22"/>
  <c r="O6" i="22"/>
  <c r="N6" i="22"/>
  <c r="M6" i="22"/>
  <c r="L6" i="22"/>
  <c r="K6" i="22"/>
  <c r="J6" i="22"/>
  <c r="I6" i="22"/>
  <c r="H6" i="22"/>
  <c r="G6" i="22"/>
  <c r="F6" i="22"/>
  <c r="E6" i="22"/>
  <c r="D6" i="22"/>
  <c r="AH5" i="22"/>
  <c r="AG5" i="22"/>
  <c r="AF5" i="22"/>
  <c r="AE5" i="22"/>
  <c r="AD5" i="22"/>
  <c r="AC5" i="22"/>
  <c r="AB5" i="22"/>
  <c r="V5" i="22"/>
  <c r="U5" i="22"/>
  <c r="T5" i="22"/>
  <c r="S5" i="22"/>
  <c r="R5" i="22"/>
  <c r="Q5" i="22"/>
  <c r="P5" i="22"/>
  <c r="O5" i="22"/>
  <c r="N5" i="22"/>
  <c r="M5" i="22"/>
  <c r="L5" i="22"/>
  <c r="K5" i="22"/>
  <c r="J5" i="22"/>
  <c r="I5" i="22"/>
  <c r="H5" i="22"/>
  <c r="G5" i="22"/>
  <c r="F5" i="22"/>
  <c r="E5" i="22"/>
  <c r="D5" i="22"/>
  <c r="P6" i="1"/>
  <c r="P7" i="1"/>
  <c r="P8" i="1"/>
  <c r="C97" i="1" s="1"/>
  <c r="P9" i="1"/>
  <c r="P10" i="1"/>
  <c r="P11" i="1"/>
  <c r="P12" i="1"/>
  <c r="P13" i="1"/>
  <c r="P14" i="1"/>
  <c r="P15" i="1"/>
  <c r="P17" i="1"/>
  <c r="P18" i="1"/>
  <c r="P19" i="1"/>
  <c r="P20" i="1"/>
  <c r="P21" i="1"/>
  <c r="P22" i="1"/>
  <c r="P23" i="1"/>
  <c r="P24" i="1"/>
  <c r="P25" i="1"/>
  <c r="L10" i="22"/>
  <c r="P27" i="1"/>
  <c r="P28" i="1"/>
  <c r="P29" i="1"/>
  <c r="P30" i="1"/>
  <c r="P31" i="1"/>
  <c r="P32" i="1"/>
  <c r="P33" i="1"/>
  <c r="P34" i="1"/>
  <c r="P35" i="1"/>
  <c r="M97" i="1" s="1"/>
  <c r="P36" i="1"/>
  <c r="P37" i="1"/>
  <c r="P38" i="1"/>
  <c r="P39" i="1"/>
  <c r="P40" i="1"/>
  <c r="P41" i="1"/>
  <c r="P42" i="1"/>
  <c r="P43" i="1"/>
  <c r="P44" i="1"/>
  <c r="Q97" i="1" s="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AH9" i="22"/>
  <c r="K82" i="1"/>
  <c r="J82" i="1"/>
  <c r="S81" i="1"/>
  <c r="R81" i="1"/>
  <c r="O81" i="1"/>
  <c r="AG9" i="22"/>
  <c r="K81" i="1"/>
  <c r="J81" i="1"/>
  <c r="S80" i="1"/>
  <c r="AE99" i="1" s="1"/>
  <c r="R80" i="1"/>
  <c r="O80" i="1"/>
  <c r="AF9" i="22"/>
  <c r="K80" i="1"/>
  <c r="J80" i="1"/>
  <c r="S79" i="1"/>
  <c r="R79" i="1"/>
  <c r="O79" i="1"/>
  <c r="K79" i="1"/>
  <c r="J79" i="1"/>
  <c r="S78" i="1"/>
  <c r="R78" i="1"/>
  <c r="O78" i="1"/>
  <c r="AE9" i="22"/>
  <c r="K78" i="1"/>
  <c r="J78" i="1"/>
  <c r="S77" i="1"/>
  <c r="R77" i="1"/>
  <c r="O77" i="1"/>
  <c r="AD9" i="22"/>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AC9" i="22"/>
  <c r="K68" i="1"/>
  <c r="J68" i="1"/>
  <c r="S67" i="1"/>
  <c r="R67" i="1"/>
  <c r="O67" i="1"/>
  <c r="K67" i="1"/>
  <c r="J67" i="1"/>
  <c r="S66" i="1"/>
  <c r="R66" i="1"/>
  <c r="O66" i="1"/>
  <c r="K66" i="1"/>
  <c r="J66" i="1"/>
  <c r="S65" i="1"/>
  <c r="R65" i="1"/>
  <c r="O65" i="1"/>
  <c r="K65" i="1"/>
  <c r="J65" i="1"/>
  <c r="O64" i="1"/>
  <c r="K64" i="1"/>
  <c r="J64" i="1"/>
  <c r="S63" i="1"/>
  <c r="R63" i="1"/>
  <c r="O63" i="1"/>
  <c r="AB9" i="22"/>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R49" i="1"/>
  <c r="O49" i="1"/>
  <c r="V9" i="22"/>
  <c r="K49" i="1"/>
  <c r="J49" i="1"/>
  <c r="S48" i="1"/>
  <c r="R48" i="1"/>
  <c r="O48" i="1"/>
  <c r="U9" i="22"/>
  <c r="K48" i="1"/>
  <c r="J48" i="1"/>
  <c r="S47" i="1"/>
  <c r="R47" i="1"/>
  <c r="O47" i="1"/>
  <c r="T9" i="22"/>
  <c r="K47" i="1"/>
  <c r="J47" i="1"/>
  <c r="S46" i="1"/>
  <c r="R46" i="1"/>
  <c r="O46" i="1"/>
  <c r="S9" i="22"/>
  <c r="K46" i="1"/>
  <c r="J46" i="1"/>
  <c r="S45" i="1"/>
  <c r="R45" i="1"/>
  <c r="O45" i="1"/>
  <c r="K45" i="1"/>
  <c r="J45" i="1"/>
  <c r="S44" i="1"/>
  <c r="Q99" i="1" s="1"/>
  <c r="R44" i="1"/>
  <c r="O44" i="1"/>
  <c r="R9" i="22"/>
  <c r="K44" i="1"/>
  <c r="J44" i="1"/>
  <c r="S43" i="1"/>
  <c r="R43" i="1"/>
  <c r="O43" i="1"/>
  <c r="K43" i="1"/>
  <c r="J43" i="1"/>
  <c r="O42" i="1"/>
  <c r="K42" i="1"/>
  <c r="J42" i="1"/>
  <c r="S41" i="1"/>
  <c r="R41" i="1"/>
  <c r="O41" i="1"/>
  <c r="K41" i="1"/>
  <c r="J41" i="1"/>
  <c r="S40" i="1"/>
  <c r="R40" i="1"/>
  <c r="O40" i="1"/>
  <c r="Q9" i="22"/>
  <c r="K40" i="1"/>
  <c r="J40" i="1"/>
  <c r="S39" i="1"/>
  <c r="R39" i="1"/>
  <c r="O39" i="1"/>
  <c r="P9" i="22"/>
  <c r="K39" i="1"/>
  <c r="J39" i="1"/>
  <c r="O38" i="1"/>
  <c r="K38" i="1"/>
  <c r="J38" i="1"/>
  <c r="S37" i="1"/>
  <c r="R37" i="1"/>
  <c r="O37" i="1"/>
  <c r="O9" i="22"/>
  <c r="K37" i="1"/>
  <c r="J37" i="1"/>
  <c r="S36" i="1"/>
  <c r="R36" i="1"/>
  <c r="O36" i="1"/>
  <c r="K36" i="1"/>
  <c r="J36" i="1"/>
  <c r="S35" i="1"/>
  <c r="R35" i="1"/>
  <c r="O35" i="1"/>
  <c r="N9" i="22"/>
  <c r="K35" i="1"/>
  <c r="J35" i="1"/>
  <c r="O34" i="1"/>
  <c r="K34" i="1"/>
  <c r="J34" i="1"/>
  <c r="S33" i="1"/>
  <c r="R33" i="1"/>
  <c r="O33" i="1"/>
  <c r="K33" i="1"/>
  <c r="J33" i="1"/>
  <c r="S32" i="1"/>
  <c r="R32" i="1"/>
  <c r="O32" i="1"/>
  <c r="K32" i="1"/>
  <c r="J32" i="1"/>
  <c r="S31" i="1"/>
  <c r="R31" i="1"/>
  <c r="O31" i="1"/>
  <c r="K31" i="1"/>
  <c r="J31" i="1"/>
  <c r="S30" i="1"/>
  <c r="R30" i="1"/>
  <c r="O30" i="1"/>
  <c r="M9" i="22"/>
  <c r="K30" i="1"/>
  <c r="J30" i="1"/>
  <c r="S29" i="1"/>
  <c r="R29" i="1"/>
  <c r="O29" i="1"/>
  <c r="K29" i="1"/>
  <c r="J29" i="1"/>
  <c r="O28" i="1"/>
  <c r="K28" i="1"/>
  <c r="J28" i="1"/>
  <c r="S27" i="1"/>
  <c r="R27" i="1"/>
  <c r="O27" i="1"/>
  <c r="K27" i="1"/>
  <c r="J27" i="1"/>
  <c r="L11" i="22"/>
  <c r="L9" i="22"/>
  <c r="S25" i="1"/>
  <c r="R25" i="1"/>
  <c r="O25" i="1"/>
  <c r="K25" i="1"/>
  <c r="J25" i="1"/>
  <c r="S24" i="1"/>
  <c r="R24" i="1"/>
  <c r="O24" i="1"/>
  <c r="K9" i="22"/>
  <c r="K24" i="1"/>
  <c r="J24" i="1"/>
  <c r="S23" i="1"/>
  <c r="R23" i="1"/>
  <c r="O23" i="1"/>
  <c r="K23" i="1"/>
  <c r="J23" i="1"/>
  <c r="S22" i="1"/>
  <c r="I99" i="1" s="1"/>
  <c r="R22" i="1"/>
  <c r="O22" i="1"/>
  <c r="J9" i="22"/>
  <c r="K22" i="1"/>
  <c r="J22" i="1"/>
  <c r="S21" i="1"/>
  <c r="R21" i="1"/>
  <c r="O21" i="1"/>
  <c r="J21" i="1"/>
  <c r="S20" i="1"/>
  <c r="R20" i="1"/>
  <c r="O20" i="1"/>
  <c r="K20" i="1"/>
  <c r="J20" i="1"/>
  <c r="S19" i="1"/>
  <c r="R19" i="1"/>
  <c r="O19" i="1"/>
  <c r="K19" i="1"/>
  <c r="S18" i="1"/>
  <c r="R18" i="1"/>
  <c r="O18" i="1"/>
  <c r="I9" i="22"/>
  <c r="K18" i="1"/>
  <c r="J18" i="1"/>
  <c r="S17" i="1"/>
  <c r="R17" i="1"/>
  <c r="O17" i="1"/>
  <c r="H9" i="22"/>
  <c r="K17" i="1"/>
  <c r="J17" i="1"/>
  <c r="S16" i="1"/>
  <c r="R16" i="1"/>
  <c r="O16" i="1"/>
  <c r="K16" i="1"/>
  <c r="J16" i="1"/>
  <c r="O15" i="1"/>
  <c r="K15" i="1"/>
  <c r="J15" i="1"/>
  <c r="S14" i="1"/>
  <c r="F99" i="1" s="1"/>
  <c r="R14" i="1"/>
  <c r="F98" i="1" s="1"/>
  <c r="O14" i="1"/>
  <c r="G9" i="22"/>
  <c r="K14" i="1"/>
  <c r="J14" i="1"/>
  <c r="S13" i="1"/>
  <c r="R13" i="1"/>
  <c r="O13" i="1"/>
  <c r="H12" i="2" s="1"/>
  <c r="F9" i="22"/>
  <c r="K13" i="1"/>
  <c r="H9" i="2" s="1"/>
  <c r="J13" i="1"/>
  <c r="S12" i="1"/>
  <c r="R12" i="1"/>
  <c r="O12" i="1"/>
  <c r="K12" i="1"/>
  <c r="J12" i="1"/>
  <c r="S11" i="1"/>
  <c r="R11" i="1"/>
  <c r="O11" i="1"/>
  <c r="E9" i="22"/>
  <c r="K11" i="1"/>
  <c r="J11" i="1"/>
  <c r="S10" i="1"/>
  <c r="R10" i="1"/>
  <c r="O10" i="1"/>
  <c r="K10" i="1"/>
  <c r="J10" i="1"/>
  <c r="S9" i="1"/>
  <c r="R9" i="1"/>
  <c r="O9" i="1"/>
  <c r="N9" i="1"/>
  <c r="K9" i="1"/>
  <c r="J9" i="1"/>
  <c r="S8" i="1"/>
  <c r="C99" i="1" s="1"/>
  <c r="R8" i="1"/>
  <c r="C98" i="1" s="1"/>
  <c r="O8" i="1"/>
  <c r="D9" i="22"/>
  <c r="K8" i="1"/>
  <c r="J8" i="1"/>
  <c r="S7" i="1"/>
  <c r="R7" i="1"/>
  <c r="O7" i="1"/>
  <c r="N7" i="1"/>
  <c r="K7" i="1"/>
  <c r="J7" i="1"/>
  <c r="S6" i="1"/>
  <c r="R6" i="1"/>
  <c r="O6" i="1"/>
  <c r="K6" i="1"/>
  <c r="J6" i="1"/>
  <c r="N43" i="1"/>
  <c r="F4" i="23"/>
  <c r="U24" i="23" s="1"/>
  <c r="V24" i="23"/>
  <c r="V27" i="23" s="1"/>
  <c r="C5" i="23"/>
  <c r="A7" i="23" s="1"/>
  <c r="K156" i="23"/>
  <c r="K155" i="23"/>
  <c r="K154" i="23"/>
  <c r="K153" i="23"/>
  <c r="K152" i="23"/>
  <c r="K151" i="23"/>
  <c r="K150" i="23"/>
  <c r="K149" i="23"/>
  <c r="K148" i="23"/>
  <c r="K147" i="23"/>
  <c r="K146" i="23"/>
  <c r="K145" i="23"/>
  <c r="K144" i="23"/>
  <c r="K141" i="23"/>
  <c r="K140" i="23"/>
  <c r="K139" i="23"/>
  <c r="K138" i="23"/>
  <c r="K137" i="23"/>
  <c r="K136" i="23"/>
  <c r="K135" i="23"/>
  <c r="K134" i="23"/>
  <c r="K133" i="23"/>
  <c r="K132" i="23"/>
  <c r="K131" i="23"/>
  <c r="K130" i="23"/>
  <c r="K129" i="23"/>
  <c r="K128" i="23"/>
  <c r="K127" i="23"/>
  <c r="K126" i="23"/>
  <c r="K125" i="23"/>
  <c r="K124" i="23"/>
  <c r="K123" i="23"/>
  <c r="K122" i="23"/>
  <c r="K121" i="23"/>
  <c r="K120" i="23"/>
  <c r="K119" i="23"/>
  <c r="K118" i="23"/>
  <c r="K117" i="23"/>
  <c r="K116" i="23"/>
  <c r="K115" i="23"/>
  <c r="K114" i="23"/>
  <c r="K113" i="23"/>
  <c r="K112" i="23"/>
  <c r="K111" i="23"/>
  <c r="K110" i="23"/>
  <c r="K109" i="23"/>
  <c r="K108" i="23"/>
  <c r="K107" i="23"/>
  <c r="K106" i="23"/>
  <c r="K105" i="23"/>
  <c r="K104" i="23"/>
  <c r="K103" i="23"/>
  <c r="K102" i="23"/>
  <c r="K101" i="23"/>
  <c r="K100" i="23"/>
  <c r="K99" i="23"/>
  <c r="K98" i="23"/>
  <c r="K97" i="23"/>
  <c r="K96" i="23"/>
  <c r="K95" i="23"/>
  <c r="K94" i="23"/>
  <c r="K93" i="23"/>
  <c r="K92" i="23"/>
  <c r="K91" i="23"/>
  <c r="K90" i="23"/>
  <c r="K89" i="23"/>
  <c r="K88" i="23"/>
  <c r="K87" i="23"/>
  <c r="K86" i="23"/>
  <c r="K85" i="23"/>
  <c r="K84" i="23"/>
  <c r="K83" i="23"/>
  <c r="K82" i="23"/>
  <c r="K81" i="23"/>
  <c r="K80" i="23"/>
  <c r="K79" i="23"/>
  <c r="K78" i="23"/>
  <c r="K77" i="23"/>
  <c r="K76" i="23"/>
  <c r="K75" i="23"/>
  <c r="K74" i="23"/>
  <c r="K73" i="23"/>
  <c r="K72" i="23"/>
  <c r="K71" i="23"/>
  <c r="K70" i="23"/>
  <c r="K69" i="23"/>
  <c r="K68" i="23"/>
  <c r="K66" i="23"/>
  <c r="K65" i="23"/>
  <c r="K64" i="23"/>
  <c r="K63" i="23"/>
  <c r="K62" i="23"/>
  <c r="K61" i="23"/>
  <c r="K60" i="23"/>
  <c r="K59" i="23"/>
  <c r="K58" i="23"/>
  <c r="K57" i="23"/>
  <c r="K56" i="23"/>
  <c r="K55" i="23"/>
  <c r="K54" i="23"/>
  <c r="K53" i="23"/>
  <c r="K52" i="23"/>
  <c r="K51" i="23"/>
  <c r="K50" i="23"/>
  <c r="K49" i="23"/>
  <c r="K48" i="23"/>
  <c r="K47" i="23"/>
  <c r="K46" i="23"/>
  <c r="K45" i="23"/>
  <c r="K44" i="23"/>
  <c r="K43" i="23"/>
  <c r="K42" i="23"/>
  <c r="K41" i="23"/>
  <c r="K40" i="23"/>
  <c r="K39" i="23"/>
  <c r="K38" i="23"/>
  <c r="K37" i="23"/>
  <c r="K36" i="23"/>
  <c r="K35" i="23"/>
  <c r="K34" i="23"/>
  <c r="K33" i="23"/>
  <c r="K32" i="23"/>
  <c r="K31" i="23"/>
  <c r="K30" i="23"/>
  <c r="K29" i="23"/>
  <c r="K28" i="23"/>
  <c r="K27" i="23"/>
  <c r="K26" i="23"/>
  <c r="K25" i="23"/>
  <c r="K24" i="23"/>
  <c r="BC23" i="23"/>
  <c r="AY23" i="23"/>
  <c r="AX23" i="23"/>
  <c r="AW23" i="23"/>
  <c r="AV23" i="23"/>
  <c r="AU23" i="23"/>
  <c r="AT23" i="23"/>
  <c r="AS23" i="23"/>
  <c r="AR23" i="23"/>
  <c r="AQ23" i="23"/>
  <c r="AP23" i="23"/>
  <c r="AO23" i="23"/>
  <c r="AN23" i="23"/>
  <c r="AM23" i="23"/>
  <c r="AL23" i="23"/>
  <c r="AK23" i="23"/>
  <c r="AJ23" i="23"/>
  <c r="AI23" i="23"/>
  <c r="AH23" i="23"/>
  <c r="AG23" i="23"/>
  <c r="AF23" i="23"/>
  <c r="AE23" i="23"/>
  <c r="AD23" i="23"/>
  <c r="AC23" i="23"/>
  <c r="AB23" i="23"/>
  <c r="AA23" i="23"/>
  <c r="Z23" i="23"/>
  <c r="Y23" i="23"/>
  <c r="X23" i="23"/>
  <c r="W23" i="23"/>
  <c r="V23" i="23"/>
  <c r="U23" i="23"/>
  <c r="K23" i="23"/>
  <c r="K22" i="23"/>
  <c r="K21" i="23"/>
  <c r="K20" i="23"/>
  <c r="K19" i="23"/>
  <c r="K18" i="23"/>
  <c r="K17" i="23"/>
  <c r="K16" i="23"/>
  <c r="K15" i="23"/>
  <c r="K13" i="23"/>
  <c r="K12" i="23"/>
  <c r="K11" i="23"/>
  <c r="AY10" i="23"/>
  <c r="AX10" i="23"/>
  <c r="AW10" i="23"/>
  <c r="AV10" i="23"/>
  <c r="AU10" i="23"/>
  <c r="AT10" i="23"/>
  <c r="AS10" i="23"/>
  <c r="AR10" i="23"/>
  <c r="AQ10" i="23"/>
  <c r="AP10" i="23"/>
  <c r="AO10" i="23"/>
  <c r="AN10" i="23"/>
  <c r="AM10" i="23"/>
  <c r="AL10" i="23"/>
  <c r="AK10" i="23"/>
  <c r="AJ10" i="23"/>
  <c r="AI10" i="23"/>
  <c r="AH10" i="23"/>
  <c r="AG10" i="23"/>
  <c r="AF10" i="23"/>
  <c r="AE10" i="23"/>
  <c r="AD10" i="23"/>
  <c r="AC10" i="23"/>
  <c r="AB10" i="23"/>
  <c r="AA10" i="23"/>
  <c r="Z10" i="23"/>
  <c r="Y10" i="23"/>
  <c r="X10" i="23"/>
  <c r="W10" i="23"/>
  <c r="V10" i="23"/>
  <c r="U10" i="23"/>
  <c r="K10" i="23"/>
  <c r="K9" i="23"/>
  <c r="AJ4" i="23"/>
  <c r="AY24" i="23" s="1"/>
  <c r="AY27" i="23" s="1"/>
  <c r="AI4" i="23"/>
  <c r="AX24" i="23" s="1"/>
  <c r="AX27" i="23" s="1"/>
  <c r="AH4" i="23"/>
  <c r="AW24" i="23" s="1"/>
  <c r="AW27" i="23" s="1"/>
  <c r="AG4" i="23"/>
  <c r="AV24" i="23" s="1"/>
  <c r="AV27" i="23" s="1"/>
  <c r="AF4" i="23"/>
  <c r="AU24" i="23" s="1"/>
  <c r="AU27" i="23" s="1"/>
  <c r="AE4" i="23"/>
  <c r="AT24" i="23" s="1"/>
  <c r="AT27" i="23" s="1"/>
  <c r="AD4" i="23"/>
  <c r="AS24" i="23" s="1"/>
  <c r="AS27" i="23" s="1"/>
  <c r="AC4" i="23"/>
  <c r="AR24" i="23" s="1"/>
  <c r="AR27" i="23" s="1"/>
  <c r="AB4" i="23"/>
  <c r="AQ24" i="23" s="1"/>
  <c r="AQ27" i="23" s="1"/>
  <c r="AA4" i="23"/>
  <c r="AP24" i="23" s="1"/>
  <c r="AP27" i="23" s="1"/>
  <c r="Z4" i="23"/>
  <c r="AO24" i="23" s="1"/>
  <c r="AO27" i="23" s="1"/>
  <c r="Y4" i="23"/>
  <c r="AN24" i="23" s="1"/>
  <c r="AN27" i="23" s="1"/>
  <c r="X4" i="23"/>
  <c r="AM24" i="23" s="1"/>
  <c r="AM27" i="23" s="1"/>
  <c r="W4" i="23"/>
  <c r="AL24" i="23" s="1"/>
  <c r="AL27" i="23" s="1"/>
  <c r="V4" i="23"/>
  <c r="AK24" i="23" s="1"/>
  <c r="AK27" i="23" s="1"/>
  <c r="U4" i="23"/>
  <c r="AJ24" i="23" s="1"/>
  <c r="AJ27" i="23" s="1"/>
  <c r="T4" i="23"/>
  <c r="AI24" i="23" s="1"/>
  <c r="AI27" i="23" s="1"/>
  <c r="S4" i="23"/>
  <c r="AH24" i="23" s="1"/>
  <c r="AH27" i="23" s="1"/>
  <c r="R4" i="23"/>
  <c r="AG24" i="23" s="1"/>
  <c r="AG27" i="23" s="1"/>
  <c r="Q4" i="23"/>
  <c r="AF24" i="23" s="1"/>
  <c r="AF27" i="23" s="1"/>
  <c r="P4" i="23"/>
  <c r="AE24" i="23" s="1"/>
  <c r="AE27" i="23" s="1"/>
  <c r="O4" i="23"/>
  <c r="AD24" i="23" s="1"/>
  <c r="AD27" i="23" s="1"/>
  <c r="N4" i="23"/>
  <c r="AC24" i="23" s="1"/>
  <c r="AC27" i="23" s="1"/>
  <c r="M4" i="23"/>
  <c r="AB24" i="23" s="1"/>
  <c r="AB27" i="23" s="1"/>
  <c r="L4" i="23"/>
  <c r="AA24" i="23" s="1"/>
  <c r="AA27" i="23" s="1"/>
  <c r="K4" i="23"/>
  <c r="Z24" i="23" s="1"/>
  <c r="Z27" i="23" s="1"/>
  <c r="J4" i="23"/>
  <c r="Y24" i="23" s="1"/>
  <c r="Y27" i="23" s="1"/>
  <c r="I4" i="23"/>
  <c r="X24" i="23" s="1"/>
  <c r="X27" i="23" s="1"/>
  <c r="H4" i="23"/>
  <c r="W24" i="23" s="1"/>
  <c r="F84" i="11"/>
  <c r="G84" i="11" s="1"/>
  <c r="F80" i="11"/>
  <c r="G80" i="11" s="1"/>
  <c r="F76" i="11"/>
  <c r="G76" i="11" s="1"/>
  <c r="F72" i="11"/>
  <c r="G72" i="11" s="1"/>
  <c r="F64" i="11"/>
  <c r="G64" i="11" s="1"/>
  <c r="F56" i="11"/>
  <c r="G56" i="11" s="1"/>
  <c r="F44" i="11"/>
  <c r="G44" i="11" s="1"/>
  <c r="F40" i="11"/>
  <c r="G40" i="11" s="1"/>
  <c r="F36" i="11"/>
  <c r="G36" i="11" s="1"/>
  <c r="F24" i="11"/>
  <c r="G24" i="11" s="1"/>
  <c r="F34" i="11"/>
  <c r="G34" i="11" s="1"/>
  <c r="F8" i="11"/>
  <c r="G8" i="11" s="1"/>
  <c r="F7" i="11"/>
  <c r="G7" i="11" s="1"/>
  <c r="E6" i="19"/>
  <c r="E87" i="19" s="1"/>
  <c r="F87" i="19" s="1"/>
  <c r="F85" i="11"/>
  <c r="M6" i="17"/>
  <c r="N6" i="17"/>
  <c r="O6" i="17"/>
  <c r="M7" i="17"/>
  <c r="N7" i="17"/>
  <c r="O7" i="17"/>
  <c r="M8" i="17"/>
  <c r="N8" i="17"/>
  <c r="O8" i="17"/>
  <c r="M9" i="17"/>
  <c r="N9" i="17"/>
  <c r="O9" i="17"/>
  <c r="M10" i="17"/>
  <c r="N10" i="17"/>
  <c r="O10" i="17"/>
  <c r="M11" i="17"/>
  <c r="N11" i="17"/>
  <c r="O11" i="17"/>
  <c r="M12" i="17"/>
  <c r="N12" i="17"/>
  <c r="O12" i="17"/>
  <c r="M13" i="17"/>
  <c r="N13" i="17"/>
  <c r="O13" i="17"/>
  <c r="M14" i="17"/>
  <c r="N14" i="17"/>
  <c r="O14" i="17"/>
  <c r="M15" i="17"/>
  <c r="N15" i="17"/>
  <c r="O15" i="17"/>
  <c r="M16" i="17"/>
  <c r="N16" i="17"/>
  <c r="O16" i="17"/>
  <c r="M17" i="17"/>
  <c r="N17" i="17"/>
  <c r="O17" i="17"/>
  <c r="M18" i="17"/>
  <c r="N18" i="17"/>
  <c r="O18" i="17"/>
  <c r="M19" i="17"/>
  <c r="N19" i="17"/>
  <c r="O19" i="17"/>
  <c r="M20" i="17"/>
  <c r="N20" i="17"/>
  <c r="O20" i="17"/>
  <c r="M21" i="17"/>
  <c r="N21" i="17"/>
  <c r="O21" i="17"/>
  <c r="M22" i="17"/>
  <c r="N22" i="17"/>
  <c r="O22" i="17"/>
  <c r="M23" i="17"/>
  <c r="N23" i="17"/>
  <c r="O23" i="17"/>
  <c r="M24" i="17"/>
  <c r="N24" i="17"/>
  <c r="O24" i="17"/>
  <c r="M25" i="17"/>
  <c r="N25" i="17"/>
  <c r="O25" i="17"/>
  <c r="M26" i="17"/>
  <c r="N26" i="17"/>
  <c r="O26" i="17"/>
  <c r="M27" i="17"/>
  <c r="N27" i="17"/>
  <c r="O27" i="17"/>
  <c r="M28" i="17"/>
  <c r="N28" i="17"/>
  <c r="O28" i="17"/>
  <c r="M29" i="17"/>
  <c r="N29" i="17"/>
  <c r="O29" i="17"/>
  <c r="M30" i="17"/>
  <c r="N30" i="17"/>
  <c r="O30" i="17"/>
  <c r="M31" i="17"/>
  <c r="N31" i="17"/>
  <c r="O31" i="17"/>
  <c r="M32" i="17"/>
  <c r="N32" i="17"/>
  <c r="O32" i="17"/>
  <c r="M33" i="17"/>
  <c r="N33" i="17"/>
  <c r="O33" i="17"/>
  <c r="M34" i="17"/>
  <c r="N34" i="17"/>
  <c r="O34" i="17"/>
  <c r="M35" i="17"/>
  <c r="N35" i="17"/>
  <c r="O35" i="17"/>
  <c r="M36" i="17"/>
  <c r="N36" i="17"/>
  <c r="O36" i="17"/>
  <c r="M37" i="17"/>
  <c r="N37" i="17"/>
  <c r="O37" i="17"/>
  <c r="M38" i="17"/>
  <c r="N38" i="17"/>
  <c r="O38" i="17"/>
  <c r="M39" i="17"/>
  <c r="N39" i="17"/>
  <c r="O39" i="17"/>
  <c r="M40" i="17"/>
  <c r="N40" i="17"/>
  <c r="O40" i="17"/>
  <c r="M41" i="17"/>
  <c r="N41" i="17"/>
  <c r="O41" i="17"/>
  <c r="M42" i="17"/>
  <c r="N42" i="17"/>
  <c r="O42" i="17"/>
  <c r="M43" i="17"/>
  <c r="N43" i="17"/>
  <c r="O43" i="17"/>
  <c r="M44" i="17"/>
  <c r="N44" i="17"/>
  <c r="O44" i="17"/>
  <c r="M45" i="17"/>
  <c r="N45" i="17"/>
  <c r="O45" i="17"/>
  <c r="M46" i="17"/>
  <c r="N46" i="17"/>
  <c r="O46" i="17"/>
  <c r="M47" i="17"/>
  <c r="N47" i="17"/>
  <c r="O47" i="17"/>
  <c r="M48" i="17"/>
  <c r="N48" i="17"/>
  <c r="O48" i="17"/>
  <c r="M49" i="17"/>
  <c r="N49" i="17"/>
  <c r="O49" i="17"/>
  <c r="M50" i="17"/>
  <c r="N50" i="17"/>
  <c r="O50" i="17"/>
  <c r="M51" i="17"/>
  <c r="N51" i="17"/>
  <c r="O51" i="17"/>
  <c r="M52" i="17"/>
  <c r="N52" i="17"/>
  <c r="O52" i="17"/>
  <c r="M53" i="17"/>
  <c r="N53" i="17"/>
  <c r="O53" i="17"/>
  <c r="M54" i="17"/>
  <c r="N54" i="17"/>
  <c r="O54" i="17"/>
  <c r="M55" i="17"/>
  <c r="N55" i="17"/>
  <c r="O55" i="17"/>
  <c r="M56" i="17"/>
  <c r="N56" i="17"/>
  <c r="O56" i="17"/>
  <c r="M57" i="17"/>
  <c r="N57" i="17"/>
  <c r="O57" i="17"/>
  <c r="M58" i="17"/>
  <c r="N58" i="17"/>
  <c r="O58" i="17"/>
  <c r="M59" i="17"/>
  <c r="N59" i="17"/>
  <c r="O59" i="17"/>
  <c r="M60" i="17"/>
  <c r="N60" i="17"/>
  <c r="O60" i="17"/>
  <c r="M61" i="17"/>
  <c r="N61" i="17"/>
  <c r="O61" i="17"/>
  <c r="M62" i="17"/>
  <c r="N62" i="17"/>
  <c r="O62" i="17"/>
  <c r="M63" i="17"/>
  <c r="N63" i="17"/>
  <c r="O63" i="17"/>
  <c r="M64" i="17"/>
  <c r="N64" i="17"/>
  <c r="O64" i="17"/>
  <c r="M65" i="17"/>
  <c r="N65" i="17"/>
  <c r="O65" i="17"/>
  <c r="M66" i="17"/>
  <c r="N66" i="17"/>
  <c r="O66" i="17"/>
  <c r="M67" i="17"/>
  <c r="N67" i="17"/>
  <c r="O67" i="17"/>
  <c r="M68" i="17"/>
  <c r="N68" i="17"/>
  <c r="O68" i="17"/>
  <c r="M69" i="17"/>
  <c r="N69" i="17"/>
  <c r="O69" i="17"/>
  <c r="M70" i="17"/>
  <c r="N70" i="17"/>
  <c r="O70" i="17"/>
  <c r="M71" i="17"/>
  <c r="N71" i="17"/>
  <c r="O71" i="17"/>
  <c r="M72" i="17"/>
  <c r="N72" i="17"/>
  <c r="O72" i="17"/>
  <c r="M73" i="17"/>
  <c r="N73" i="17"/>
  <c r="O73" i="17"/>
  <c r="M74" i="17"/>
  <c r="N74" i="17"/>
  <c r="O74" i="17"/>
  <c r="M75" i="17"/>
  <c r="N75" i="17"/>
  <c r="O75" i="17"/>
  <c r="M76" i="17"/>
  <c r="N76" i="17"/>
  <c r="O76" i="17"/>
  <c r="M77" i="17"/>
  <c r="N77" i="17"/>
  <c r="O77" i="17"/>
  <c r="M78" i="17"/>
  <c r="N78" i="17"/>
  <c r="O78" i="17"/>
  <c r="M79" i="17"/>
  <c r="N79" i="17"/>
  <c r="O79" i="17"/>
  <c r="M80" i="17"/>
  <c r="N80" i="17"/>
  <c r="O80" i="17"/>
  <c r="M81" i="17"/>
  <c r="N81" i="17"/>
  <c r="O81" i="17"/>
  <c r="M82" i="17"/>
  <c r="N82" i="17"/>
  <c r="O82" i="17"/>
  <c r="M83" i="17"/>
  <c r="N83" i="17"/>
  <c r="O83" i="17"/>
  <c r="O5" i="17"/>
  <c r="N5" i="17"/>
  <c r="M5" i="17"/>
  <c r="I2" i="17"/>
  <c r="H2" i="17"/>
  <c r="G2" i="17"/>
  <c r="J2" i="17" s="1"/>
  <c r="F2" i="17"/>
  <c r="J545" i="17"/>
  <c r="J546" i="17"/>
  <c r="J547" i="17"/>
  <c r="J548" i="17"/>
  <c r="J549" i="17"/>
  <c r="J550" i="17"/>
  <c r="J551" i="17"/>
  <c r="J552" i="17"/>
  <c r="J553" i="17"/>
  <c r="F73" i="11"/>
  <c r="G73" i="11" s="1"/>
  <c r="F61" i="11"/>
  <c r="G61" i="11" s="1"/>
  <c r="F59" i="11"/>
  <c r="G59" i="11" s="1"/>
  <c r="F53" i="11"/>
  <c r="G53" i="11" s="1"/>
  <c r="F46" i="11"/>
  <c r="G46" i="11" s="1"/>
  <c r="F26" i="11"/>
  <c r="G26" i="11" s="1"/>
  <c r="F22" i="11"/>
  <c r="G22" i="11" s="1"/>
  <c r="F21" i="11"/>
  <c r="G21" i="11" s="1"/>
  <c r="J544" i="17"/>
  <c r="J543" i="17"/>
  <c r="J542" i="17"/>
  <c r="J541" i="17"/>
  <c r="J540" i="17"/>
  <c r="J539" i="17"/>
  <c r="J538" i="17"/>
  <c r="J537" i="17"/>
  <c r="J536" i="17"/>
  <c r="J535" i="17"/>
  <c r="J534" i="17"/>
  <c r="J533" i="17"/>
  <c r="J532" i="17"/>
  <c r="J531" i="17"/>
  <c r="J530" i="17"/>
  <c r="J529" i="17"/>
  <c r="J528" i="17"/>
  <c r="J527" i="17"/>
  <c r="J526" i="17"/>
  <c r="J525" i="17"/>
  <c r="J524" i="17"/>
  <c r="J523" i="17"/>
  <c r="J522" i="17"/>
  <c r="J521" i="17"/>
  <c r="J520" i="17"/>
  <c r="J519" i="17"/>
  <c r="J518" i="17"/>
  <c r="J517" i="17"/>
  <c r="J516" i="17"/>
  <c r="J515" i="17"/>
  <c r="J514" i="17"/>
  <c r="J513" i="17"/>
  <c r="J512" i="17"/>
  <c r="J511" i="17"/>
  <c r="J510" i="17"/>
  <c r="J509" i="17"/>
  <c r="J508" i="17"/>
  <c r="J507" i="17"/>
  <c r="J506" i="17"/>
  <c r="J505" i="17"/>
  <c r="J504" i="17"/>
  <c r="J503" i="17"/>
  <c r="J502" i="17"/>
  <c r="J501" i="17"/>
  <c r="J500" i="17"/>
  <c r="J499" i="17"/>
  <c r="J498" i="17"/>
  <c r="J497" i="17"/>
  <c r="J496" i="17"/>
  <c r="J495" i="17"/>
  <c r="J494" i="17"/>
  <c r="J493" i="17"/>
  <c r="J492" i="17"/>
  <c r="J491" i="17"/>
  <c r="J490" i="17"/>
  <c r="J489" i="17"/>
  <c r="J488" i="17"/>
  <c r="J487" i="17"/>
  <c r="J486" i="17"/>
  <c r="J485" i="17"/>
  <c r="J484" i="17"/>
  <c r="J483" i="17"/>
  <c r="J482" i="17"/>
  <c r="J481" i="17"/>
  <c r="J480" i="17"/>
  <c r="J479" i="17"/>
  <c r="J478" i="17"/>
  <c r="J477" i="17"/>
  <c r="J476" i="17"/>
  <c r="J475" i="17"/>
  <c r="J474" i="17"/>
  <c r="J473" i="17"/>
  <c r="J472" i="17"/>
  <c r="J471" i="17"/>
  <c r="J470" i="17"/>
  <c r="J469" i="17"/>
  <c r="J468" i="17"/>
  <c r="J467" i="17"/>
  <c r="J466" i="17"/>
  <c r="J465" i="17"/>
  <c r="J464" i="17"/>
  <c r="J463" i="17"/>
  <c r="J462" i="17"/>
  <c r="J461" i="17"/>
  <c r="J460" i="17"/>
  <c r="J459" i="17"/>
  <c r="J458" i="17"/>
  <c r="J457" i="17"/>
  <c r="J456" i="17"/>
  <c r="J455" i="17"/>
  <c r="J454" i="17"/>
  <c r="J453" i="17"/>
  <c r="J452" i="17"/>
  <c r="J451" i="17"/>
  <c r="J450" i="17"/>
  <c r="J449" i="17"/>
  <c r="J448" i="17"/>
  <c r="J447" i="17"/>
  <c r="J446" i="17"/>
  <c r="J445" i="17"/>
  <c r="J444" i="17"/>
  <c r="J443" i="17"/>
  <c r="J442" i="17"/>
  <c r="J441" i="17"/>
  <c r="J440" i="17"/>
  <c r="J439" i="17"/>
  <c r="J438" i="17"/>
  <c r="J437" i="17"/>
  <c r="J436" i="17"/>
  <c r="J435" i="17"/>
  <c r="J434" i="17"/>
  <c r="J433" i="17"/>
  <c r="J432" i="17"/>
  <c r="J431" i="17"/>
  <c r="J430" i="17"/>
  <c r="J429" i="17"/>
  <c r="J428" i="17"/>
  <c r="J427" i="17"/>
  <c r="J426" i="17"/>
  <c r="J425" i="17"/>
  <c r="J424" i="17"/>
  <c r="J423" i="17"/>
  <c r="J422" i="17"/>
  <c r="J421" i="17"/>
  <c r="J420" i="17"/>
  <c r="J419" i="17"/>
  <c r="J418" i="17"/>
  <c r="J417" i="17"/>
  <c r="J416" i="17"/>
  <c r="J415" i="17"/>
  <c r="J414" i="17"/>
  <c r="J413" i="17"/>
  <c r="J412" i="17"/>
  <c r="J411" i="17"/>
  <c r="J410" i="17"/>
  <c r="J409" i="17"/>
  <c r="J408" i="17"/>
  <c r="J407" i="17"/>
  <c r="J406" i="17"/>
  <c r="J405" i="17"/>
  <c r="J404" i="17"/>
  <c r="J403" i="17"/>
  <c r="J402" i="17"/>
  <c r="J401" i="17"/>
  <c r="J400" i="17"/>
  <c r="J399" i="17"/>
  <c r="J398" i="17"/>
  <c r="J397" i="17"/>
  <c r="J396" i="17"/>
  <c r="J395" i="17"/>
  <c r="J394" i="17"/>
  <c r="J393" i="17"/>
  <c r="J392" i="17"/>
  <c r="J391" i="17"/>
  <c r="J390" i="17"/>
  <c r="J389" i="17"/>
  <c r="J388" i="17"/>
  <c r="J387" i="17"/>
  <c r="J386" i="17"/>
  <c r="J385" i="17"/>
  <c r="J384" i="17"/>
  <c r="J383" i="17"/>
  <c r="J382" i="17"/>
  <c r="J381" i="17"/>
  <c r="J380" i="17"/>
  <c r="J379" i="17"/>
  <c r="J378" i="17"/>
  <c r="J377" i="17"/>
  <c r="J376" i="17"/>
  <c r="J375" i="17"/>
  <c r="J374" i="17"/>
  <c r="J373" i="17"/>
  <c r="J372" i="17"/>
  <c r="J371" i="17"/>
  <c r="J370" i="17"/>
  <c r="J369" i="17"/>
  <c r="J368" i="17"/>
  <c r="J367" i="17"/>
  <c r="J366" i="17"/>
  <c r="J365" i="17"/>
  <c r="J364" i="17"/>
  <c r="J363" i="17"/>
  <c r="J362" i="17"/>
  <c r="J361" i="17"/>
  <c r="J360" i="17"/>
  <c r="J359" i="17"/>
  <c r="J358" i="17"/>
  <c r="J357" i="17"/>
  <c r="J356" i="17"/>
  <c r="J355" i="17"/>
  <c r="J354" i="17"/>
  <c r="J353" i="17"/>
  <c r="J352" i="17"/>
  <c r="J351" i="17"/>
  <c r="J350" i="17"/>
  <c r="J349" i="17"/>
  <c r="J348" i="17"/>
  <c r="J347" i="17"/>
  <c r="J346" i="17"/>
  <c r="J345" i="17"/>
  <c r="J344" i="17"/>
  <c r="J343" i="17"/>
  <c r="J342" i="17"/>
  <c r="J341" i="17"/>
  <c r="J340" i="17"/>
  <c r="J339" i="17"/>
  <c r="J338" i="17"/>
  <c r="J337" i="17"/>
  <c r="J336" i="17"/>
  <c r="J335" i="17"/>
  <c r="J334" i="17"/>
  <c r="J333" i="17"/>
  <c r="J332" i="17"/>
  <c r="J331" i="17"/>
  <c r="J330" i="17"/>
  <c r="J329" i="17"/>
  <c r="J328" i="17"/>
  <c r="J327" i="17"/>
  <c r="J326" i="17"/>
  <c r="J325" i="17"/>
  <c r="J324" i="17"/>
  <c r="J323" i="17"/>
  <c r="J322" i="17"/>
  <c r="J321" i="17"/>
  <c r="J320" i="17"/>
  <c r="J319" i="17"/>
  <c r="J318" i="17"/>
  <c r="J317" i="17"/>
  <c r="J316" i="17"/>
  <c r="J315" i="17"/>
  <c r="J314" i="17"/>
  <c r="J313" i="17"/>
  <c r="J312" i="17"/>
  <c r="J311" i="17"/>
  <c r="J310" i="17"/>
  <c r="J309" i="17"/>
  <c r="J308" i="17"/>
  <c r="J307" i="17"/>
  <c r="J306" i="17"/>
  <c r="J305" i="17"/>
  <c r="J304" i="17"/>
  <c r="J303" i="17"/>
  <c r="J302" i="17"/>
  <c r="J301" i="17"/>
  <c r="J300" i="17"/>
  <c r="J299" i="17"/>
  <c r="J298" i="17"/>
  <c r="J297" i="17"/>
  <c r="J296" i="17"/>
  <c r="J295" i="17"/>
  <c r="J294" i="17"/>
  <c r="J293" i="17"/>
  <c r="J292" i="17"/>
  <c r="J291" i="17"/>
  <c r="J290" i="17"/>
  <c r="J289" i="17"/>
  <c r="J288" i="17"/>
  <c r="J287" i="17"/>
  <c r="J286" i="17"/>
  <c r="J285" i="17"/>
  <c r="J284" i="17"/>
  <c r="J283" i="17"/>
  <c r="J282" i="17"/>
  <c r="J281" i="17"/>
  <c r="J280" i="17"/>
  <c r="J279" i="17"/>
  <c r="J278" i="17"/>
  <c r="J277" i="17"/>
  <c r="J276" i="17"/>
  <c r="J275" i="17"/>
  <c r="J274" i="17"/>
  <c r="J273" i="17"/>
  <c r="J272" i="17"/>
  <c r="J271" i="17"/>
  <c r="J270" i="17"/>
  <c r="J269" i="17"/>
  <c r="J268" i="17"/>
  <c r="J267" i="17"/>
  <c r="J266" i="17"/>
  <c r="J265" i="17"/>
  <c r="J264" i="17"/>
  <c r="J263" i="17"/>
  <c r="J262" i="17"/>
  <c r="J261" i="17"/>
  <c r="J260" i="17"/>
  <c r="J259" i="17"/>
  <c r="J258" i="17"/>
  <c r="J257" i="17"/>
  <c r="J256" i="17"/>
  <c r="J255" i="17"/>
  <c r="J254" i="17"/>
  <c r="J253" i="17"/>
  <c r="J252" i="17"/>
  <c r="J251" i="17"/>
  <c r="J250" i="17"/>
  <c r="J249" i="17"/>
  <c r="J248" i="17"/>
  <c r="J247" i="17"/>
  <c r="J246" i="17"/>
  <c r="J245" i="17"/>
  <c r="J244" i="17"/>
  <c r="J243" i="17"/>
  <c r="J242" i="17"/>
  <c r="J241" i="17"/>
  <c r="J240" i="17"/>
  <c r="J239" i="17"/>
  <c r="J238" i="17"/>
  <c r="J237" i="17"/>
  <c r="J236" i="17"/>
  <c r="J235" i="17"/>
  <c r="J234" i="17"/>
  <c r="J233" i="17"/>
  <c r="J232" i="17"/>
  <c r="J231" i="17"/>
  <c r="J230" i="17"/>
  <c r="J229" i="17"/>
  <c r="J228" i="17"/>
  <c r="J227" i="17"/>
  <c r="J226" i="17"/>
  <c r="J225" i="17"/>
  <c r="J224" i="17"/>
  <c r="J223" i="17"/>
  <c r="J222" i="17"/>
  <c r="J221" i="17"/>
  <c r="J220" i="17"/>
  <c r="J219" i="17"/>
  <c r="J218" i="17"/>
  <c r="J217" i="17"/>
  <c r="J216" i="17"/>
  <c r="J215" i="17"/>
  <c r="J214" i="17"/>
  <c r="J213" i="17"/>
  <c r="J212" i="17"/>
  <c r="J211" i="17"/>
  <c r="J210" i="17"/>
  <c r="J209" i="17"/>
  <c r="J208" i="17"/>
  <c r="J207" i="17"/>
  <c r="J206" i="17"/>
  <c r="J205" i="17"/>
  <c r="J204" i="17"/>
  <c r="J203" i="17"/>
  <c r="J202" i="17"/>
  <c r="J201" i="17"/>
  <c r="J200" i="17"/>
  <c r="J199" i="17"/>
  <c r="J198" i="17"/>
  <c r="J197" i="17"/>
  <c r="J196" i="17"/>
  <c r="J195" i="17"/>
  <c r="J194" i="17"/>
  <c r="J193" i="17"/>
  <c r="J192" i="17"/>
  <c r="J191" i="17"/>
  <c r="J190" i="17"/>
  <c r="J189" i="17"/>
  <c r="J188" i="17"/>
  <c r="J187" i="17"/>
  <c r="J186" i="17"/>
  <c r="J185" i="17"/>
  <c r="J184" i="17"/>
  <c r="J183" i="17"/>
  <c r="J182" i="17"/>
  <c r="J181" i="17"/>
  <c r="J180" i="17"/>
  <c r="J179" i="17"/>
  <c r="J178" i="17"/>
  <c r="J177" i="17"/>
  <c r="J176" i="17"/>
  <c r="J175" i="17"/>
  <c r="J174" i="17"/>
  <c r="J173" i="17"/>
  <c r="J172" i="17"/>
  <c r="J171" i="17"/>
  <c r="J170" i="17"/>
  <c r="J169" i="17"/>
  <c r="J168" i="17"/>
  <c r="J167" i="17"/>
  <c r="J166" i="17"/>
  <c r="J165" i="17"/>
  <c r="J164" i="17"/>
  <c r="J163" i="17"/>
  <c r="J162" i="17"/>
  <c r="J161" i="17"/>
  <c r="J160" i="17"/>
  <c r="J159" i="17"/>
  <c r="J158" i="17"/>
  <c r="J157" i="17"/>
  <c r="J156" i="17"/>
  <c r="J155" i="17"/>
  <c r="J154" i="17"/>
  <c r="J153" i="17"/>
  <c r="J152" i="17"/>
  <c r="J151" i="17"/>
  <c r="J150" i="17"/>
  <c r="J149" i="17"/>
  <c r="J148" i="17"/>
  <c r="J147" i="17"/>
  <c r="J146" i="17"/>
  <c r="J145" i="17"/>
  <c r="J144" i="17"/>
  <c r="J143" i="17"/>
  <c r="J142" i="17"/>
  <c r="J141" i="17"/>
  <c r="J140" i="17"/>
  <c r="J139" i="17"/>
  <c r="J138" i="17"/>
  <c r="J137" i="17"/>
  <c r="J136" i="17"/>
  <c r="J135" i="17"/>
  <c r="J134" i="17"/>
  <c r="J133" i="17"/>
  <c r="J132" i="17"/>
  <c r="J131" i="17"/>
  <c r="J130" i="17"/>
  <c r="J129" i="17"/>
  <c r="J128" i="17"/>
  <c r="J127" i="17"/>
  <c r="J126" i="17"/>
  <c r="J125" i="17"/>
  <c r="J124" i="17"/>
  <c r="J123" i="17"/>
  <c r="J122" i="17"/>
  <c r="J121" i="17"/>
  <c r="J120" i="17"/>
  <c r="J119" i="17"/>
  <c r="J118" i="17"/>
  <c r="J117" i="17"/>
  <c r="J116" i="17"/>
  <c r="J115" i="17"/>
  <c r="J114" i="17"/>
  <c r="J113" i="17"/>
  <c r="J112" i="17"/>
  <c r="J111" i="17"/>
  <c r="J110" i="17"/>
  <c r="J109" i="17"/>
  <c r="J108" i="17"/>
  <c r="J107" i="17"/>
  <c r="J106" i="17"/>
  <c r="J105" i="17"/>
  <c r="J104" i="17"/>
  <c r="J103" i="17"/>
  <c r="J102" i="17"/>
  <c r="J101" i="17"/>
  <c r="J100" i="17"/>
  <c r="J99" i="17"/>
  <c r="J98" i="17"/>
  <c r="J97" i="17"/>
  <c r="J96" i="17"/>
  <c r="J95" i="17"/>
  <c r="J94" i="17"/>
  <c r="J93" i="17"/>
  <c r="J92" i="17"/>
  <c r="J91" i="17"/>
  <c r="J90" i="17"/>
  <c r="J89" i="17"/>
  <c r="J88" i="17"/>
  <c r="J87" i="17"/>
  <c r="J86" i="17"/>
  <c r="J85" i="17"/>
  <c r="J84" i="17"/>
  <c r="J83" i="17"/>
  <c r="J82" i="17"/>
  <c r="J81" i="17"/>
  <c r="J80" i="17"/>
  <c r="J79" i="17"/>
  <c r="J78" i="17"/>
  <c r="J77" i="17"/>
  <c r="J76" i="17"/>
  <c r="J75" i="17"/>
  <c r="J74" i="17"/>
  <c r="J73" i="17"/>
  <c r="J72" i="17"/>
  <c r="J71" i="17"/>
  <c r="J70" i="17"/>
  <c r="J69" i="17"/>
  <c r="J68" i="17"/>
  <c r="J67" i="17"/>
  <c r="J66" i="17"/>
  <c r="J65" i="17"/>
  <c r="J64" i="17"/>
  <c r="J63" i="17"/>
  <c r="J62" i="17"/>
  <c r="J61" i="17"/>
  <c r="J60" i="17"/>
  <c r="J59" i="17"/>
  <c r="J58" i="17"/>
  <c r="J57" i="17"/>
  <c r="J56" i="17"/>
  <c r="J55" i="17"/>
  <c r="J54" i="17"/>
  <c r="J53" i="17"/>
  <c r="J52" i="17"/>
  <c r="J51" i="17"/>
  <c r="J50" i="17"/>
  <c r="J49" i="17"/>
  <c r="J48" i="17"/>
  <c r="J47" i="17"/>
  <c r="J46" i="17"/>
  <c r="J45" i="17"/>
  <c r="J44" i="17"/>
  <c r="J43" i="17"/>
  <c r="J42" i="17"/>
  <c r="J41" i="17"/>
  <c r="J40" i="17"/>
  <c r="J39" i="17"/>
  <c r="J38" i="17"/>
  <c r="J37" i="17"/>
  <c r="J36" i="17"/>
  <c r="J35" i="17"/>
  <c r="J34" i="17"/>
  <c r="J33" i="17"/>
  <c r="J32" i="17"/>
  <c r="J31" i="17"/>
  <c r="J30" i="17"/>
  <c r="J29" i="17"/>
  <c r="J28" i="17"/>
  <c r="J27" i="17"/>
  <c r="J26" i="17"/>
  <c r="J25" i="17"/>
  <c r="J24" i="17"/>
  <c r="J23" i="17"/>
  <c r="J22" i="17"/>
  <c r="J21" i="17"/>
  <c r="J20" i="17"/>
  <c r="J19" i="17"/>
  <c r="J18" i="17"/>
  <c r="J17" i="17"/>
  <c r="J16" i="17"/>
  <c r="J15" i="17"/>
  <c r="J14" i="17"/>
  <c r="J13" i="17"/>
  <c r="J12" i="17"/>
  <c r="J11" i="17"/>
  <c r="J10" i="17"/>
  <c r="J9" i="17"/>
  <c r="J8" i="17"/>
  <c r="J7" i="17"/>
  <c r="J6" i="17"/>
  <c r="J5" i="17"/>
  <c r="J4" i="17"/>
  <c r="F9" i="11"/>
  <c r="G9" i="11" s="1"/>
  <c r="F10" i="11"/>
  <c r="G10" i="11" s="1"/>
  <c r="F11" i="11"/>
  <c r="G11" i="11" s="1"/>
  <c r="F12" i="11"/>
  <c r="G12" i="11" s="1"/>
  <c r="F13" i="11"/>
  <c r="G13" i="11" s="1"/>
  <c r="F14" i="11"/>
  <c r="G14" i="11" s="1"/>
  <c r="F15" i="11"/>
  <c r="G15" i="11" s="1"/>
  <c r="F16" i="11"/>
  <c r="G16" i="11" s="1"/>
  <c r="F17" i="11"/>
  <c r="G17" i="11" s="1"/>
  <c r="F18" i="11"/>
  <c r="G18" i="11" s="1"/>
  <c r="F19" i="11"/>
  <c r="G19" i="11" s="1"/>
  <c r="F23" i="11"/>
  <c r="G23" i="11" s="1"/>
  <c r="F25" i="11"/>
  <c r="G25" i="11" s="1"/>
  <c r="F27" i="11"/>
  <c r="G27" i="11" s="1"/>
  <c r="F28" i="11"/>
  <c r="G28" i="11" s="1"/>
  <c r="F29" i="11"/>
  <c r="G29" i="11" s="1"/>
  <c r="F30" i="11"/>
  <c r="G30" i="11" s="1"/>
  <c r="F31" i="11"/>
  <c r="G31" i="11" s="1"/>
  <c r="F32" i="11"/>
  <c r="G32" i="11" s="1"/>
  <c r="F33" i="11"/>
  <c r="G33" i="11" s="1"/>
  <c r="F35" i="11"/>
  <c r="G35" i="11" s="1"/>
  <c r="F37" i="11"/>
  <c r="G37" i="11" s="1"/>
  <c r="F38" i="11"/>
  <c r="G38" i="11" s="1"/>
  <c r="F39" i="11"/>
  <c r="G39" i="11" s="1"/>
  <c r="F41" i="11"/>
  <c r="G41" i="11" s="1"/>
  <c r="F42" i="11"/>
  <c r="G42" i="11" s="1"/>
  <c r="F43" i="11"/>
  <c r="G43" i="11" s="1"/>
  <c r="F45" i="11"/>
  <c r="G45" i="11" s="1"/>
  <c r="F47" i="11"/>
  <c r="G47" i="11" s="1"/>
  <c r="F48" i="11"/>
  <c r="G48" i="11" s="1"/>
  <c r="F49" i="11"/>
  <c r="G49" i="11" s="1"/>
  <c r="F50" i="11"/>
  <c r="G50" i="11" s="1"/>
  <c r="F51" i="11"/>
  <c r="G51" i="11" s="1"/>
  <c r="F52" i="11"/>
  <c r="G52" i="11" s="1"/>
  <c r="F54" i="11"/>
  <c r="G54" i="11" s="1"/>
  <c r="F55" i="11"/>
  <c r="G55" i="11" s="1"/>
  <c r="F57" i="11"/>
  <c r="G57" i="11" s="1"/>
  <c r="F58" i="11"/>
  <c r="G58" i="11" s="1"/>
  <c r="F60" i="11"/>
  <c r="G60" i="11" s="1"/>
  <c r="F62" i="11"/>
  <c r="G62" i="11" s="1"/>
  <c r="F63" i="11"/>
  <c r="G63" i="11" s="1"/>
  <c r="F65" i="11"/>
  <c r="G65" i="11" s="1"/>
  <c r="F66" i="11"/>
  <c r="G66" i="11" s="1"/>
  <c r="F67" i="11"/>
  <c r="G67" i="11" s="1"/>
  <c r="F68" i="11"/>
  <c r="G68" i="11" s="1"/>
  <c r="F69" i="11"/>
  <c r="G69" i="11" s="1"/>
  <c r="F70" i="11"/>
  <c r="G70" i="11" s="1"/>
  <c r="F71" i="11"/>
  <c r="G71" i="11" s="1"/>
  <c r="F74" i="11"/>
  <c r="G74" i="11" s="1"/>
  <c r="F75" i="11"/>
  <c r="G75" i="11" s="1"/>
  <c r="F77" i="11"/>
  <c r="G77" i="11" s="1"/>
  <c r="F78" i="11"/>
  <c r="G78" i="11" s="1"/>
  <c r="F79" i="11"/>
  <c r="G79" i="11" s="1"/>
  <c r="F81" i="11"/>
  <c r="G81" i="11" s="1"/>
  <c r="F82" i="11"/>
  <c r="G82" i="11" s="1"/>
  <c r="F83" i="11"/>
  <c r="G83" i="11" s="1"/>
  <c r="F6" i="11"/>
  <c r="G6" i="11" s="1"/>
  <c r="G85" i="11"/>
  <c r="F86" i="11"/>
  <c r="F20" i="11"/>
  <c r="G20" i="11" s="1"/>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N84" i="17" l="1"/>
  <c r="E98" i="1"/>
  <c r="F11" i="22" s="1"/>
  <c r="G98" i="1"/>
  <c r="H11" i="22" s="1"/>
  <c r="H98" i="1"/>
  <c r="I11" i="22" s="1"/>
  <c r="J98" i="1"/>
  <c r="K11" i="22" s="1"/>
  <c r="L98" i="1"/>
  <c r="M11" i="22" s="1"/>
  <c r="M98" i="1"/>
  <c r="N11" i="22" s="1"/>
  <c r="O98" i="1"/>
  <c r="P11" i="22" s="1"/>
  <c r="P98" i="1"/>
  <c r="Q11" i="22" s="1"/>
  <c r="R98" i="1"/>
  <c r="S11" i="22" s="1"/>
  <c r="S98" i="1"/>
  <c r="T11" i="22" s="1"/>
  <c r="T98" i="1"/>
  <c r="U11" i="22" s="1"/>
  <c r="V11" i="22"/>
  <c r="V98" i="1"/>
  <c r="W11" i="22" s="1"/>
  <c r="Y98" i="1"/>
  <c r="Z11" i="22" s="1"/>
  <c r="AA11" i="22"/>
  <c r="Z98" i="1"/>
  <c r="AE98" i="1"/>
  <c r="AF11" i="22" s="1"/>
  <c r="AG11" i="22"/>
  <c r="AF98" i="1"/>
  <c r="AG98" i="1"/>
  <c r="AH11" i="22" s="1"/>
  <c r="D98" i="1"/>
  <c r="E11" i="22" s="1"/>
  <c r="I98" i="1"/>
  <c r="J11" i="22" s="1"/>
  <c r="N98" i="1"/>
  <c r="O11" i="22" s="1"/>
  <c r="Q98" i="1"/>
  <c r="R11" i="22" s="1"/>
  <c r="W98" i="1"/>
  <c r="X11" i="22" s="1"/>
  <c r="X98" i="1"/>
  <c r="Y11" i="22" s="1"/>
  <c r="AA98" i="1"/>
  <c r="AB11" i="22" s="1"/>
  <c r="AC11" i="22"/>
  <c r="AB98" i="1"/>
  <c r="AC98" i="1"/>
  <c r="AD11" i="22" s="1"/>
  <c r="AE11" i="22"/>
  <c r="AD98" i="1"/>
  <c r="D99" i="1"/>
  <c r="E12" i="22" s="1"/>
  <c r="N99" i="1"/>
  <c r="O12" i="22" s="1"/>
  <c r="W99" i="1"/>
  <c r="X12" i="22" s="1"/>
  <c r="X99" i="1"/>
  <c r="Y12" i="22" s="1"/>
  <c r="AA99" i="1"/>
  <c r="AB12" i="22" s="1"/>
  <c r="AB99" i="1"/>
  <c r="AC12" i="22" s="1"/>
  <c r="AC99" i="1"/>
  <c r="AD12" i="22" s="1"/>
  <c r="AD99" i="1"/>
  <c r="AE12" i="22" s="1"/>
  <c r="E99" i="1"/>
  <c r="F12" i="22" s="1"/>
  <c r="G99" i="1"/>
  <c r="H12" i="22" s="1"/>
  <c r="H99" i="1"/>
  <c r="I12" i="22" s="1"/>
  <c r="J99" i="1"/>
  <c r="K12" i="22" s="1"/>
  <c r="L99" i="1"/>
  <c r="M12" i="22" s="1"/>
  <c r="M99" i="1"/>
  <c r="N12" i="22" s="1"/>
  <c r="O99" i="1"/>
  <c r="P12" i="22" s="1"/>
  <c r="P99" i="1"/>
  <c r="Q12" i="22" s="1"/>
  <c r="R99" i="1"/>
  <c r="S12" i="22" s="1"/>
  <c r="S99" i="1"/>
  <c r="T12" i="22" s="1"/>
  <c r="T99" i="1"/>
  <c r="U12" i="22" s="1"/>
  <c r="V12" i="22"/>
  <c r="V99" i="1"/>
  <c r="W12" i="22" s="1"/>
  <c r="Y99" i="1"/>
  <c r="Z12" i="22" s="1"/>
  <c r="Z99" i="1"/>
  <c r="AA12" i="22" s="1"/>
  <c r="AF99" i="1"/>
  <c r="AG12" i="22" s="1"/>
  <c r="AF97" i="1"/>
  <c r="AG10" i="22" s="1"/>
  <c r="AA97" i="1"/>
  <c r="AB10" i="22" s="1"/>
  <c r="Z97" i="1"/>
  <c r="AA10" i="22" s="1"/>
  <c r="Y97" i="1"/>
  <c r="Z10" i="22" s="1"/>
  <c r="V97" i="1"/>
  <c r="W10" i="22" s="1"/>
  <c r="V10" i="22"/>
  <c r="S97" i="1"/>
  <c r="T10" i="22" s="1"/>
  <c r="O97" i="1"/>
  <c r="P10" i="22" s="1"/>
  <c r="N97" i="1"/>
  <c r="O10" i="22" s="1"/>
  <c r="G97" i="1"/>
  <c r="H10" i="22" s="1"/>
  <c r="F97" i="1"/>
  <c r="G10" i="22" s="1"/>
  <c r="AE97" i="1"/>
  <c r="AF10" i="22" s="1"/>
  <c r="AD97" i="1"/>
  <c r="AE10" i="22" s="1"/>
  <c r="AB97" i="1"/>
  <c r="AC10" i="22" s="1"/>
  <c r="X97" i="1"/>
  <c r="Y10" i="22" s="1"/>
  <c r="W97" i="1"/>
  <c r="X10" i="22" s="1"/>
  <c r="T97" i="1"/>
  <c r="U10" i="22" s="1"/>
  <c r="R97" i="1"/>
  <c r="S10" i="22" s="1"/>
  <c r="P97" i="1"/>
  <c r="Q10" i="22" s="1"/>
  <c r="B14" i="2"/>
  <c r="L97" i="1"/>
  <c r="M10" i="22" s="1"/>
  <c r="J97" i="1"/>
  <c r="K10" i="22" s="1"/>
  <c r="I97" i="1"/>
  <c r="J10" i="22" s="1"/>
  <c r="L5" i="23" s="1"/>
  <c r="AA25" i="23" s="1"/>
  <c r="AA26" i="23" s="1"/>
  <c r="H97" i="1"/>
  <c r="I10" i="22" s="1"/>
  <c r="E97" i="1"/>
  <c r="F10" i="22" s="1"/>
  <c r="D97" i="1"/>
  <c r="E10" i="22" s="1"/>
  <c r="E39" i="19"/>
  <c r="F39" i="19" s="1"/>
  <c r="E14" i="19"/>
  <c r="F14" i="19" s="1"/>
  <c r="E78" i="19"/>
  <c r="F78" i="19" s="1"/>
  <c r="E30" i="19"/>
  <c r="F30" i="19" s="1"/>
  <c r="E15" i="19"/>
  <c r="F15" i="19" s="1"/>
  <c r="E47" i="19"/>
  <c r="F47" i="19" s="1"/>
  <c r="E23" i="19"/>
  <c r="F23" i="19" s="1"/>
  <c r="E74" i="19"/>
  <c r="F74" i="19" s="1"/>
  <c r="E70" i="19"/>
  <c r="F70" i="19" s="1"/>
  <c r="E66" i="19"/>
  <c r="F66" i="19" s="1"/>
  <c r="E54" i="19"/>
  <c r="F54" i="19" s="1"/>
  <c r="E42" i="19"/>
  <c r="F42" i="19" s="1"/>
  <c r="E38" i="19"/>
  <c r="F38" i="19" s="1"/>
  <c r="E34" i="19"/>
  <c r="F34" i="19" s="1"/>
  <c r="E46" i="19"/>
  <c r="F46" i="19" s="1"/>
  <c r="E63" i="19"/>
  <c r="F63" i="19" s="1"/>
  <c r="E62" i="19"/>
  <c r="F62" i="19" s="1"/>
  <c r="E31" i="19"/>
  <c r="F31" i="19" s="1"/>
  <c r="E10" i="19"/>
  <c r="F10" i="19" s="1"/>
  <c r="E26" i="19"/>
  <c r="F26" i="19" s="1"/>
  <c r="E58" i="19"/>
  <c r="F58" i="19" s="1"/>
  <c r="E18" i="19"/>
  <c r="F18" i="19" s="1"/>
  <c r="E50" i="19"/>
  <c r="F50" i="19" s="1"/>
  <c r="E82" i="19"/>
  <c r="F82" i="19" s="1"/>
  <c r="E22" i="19"/>
  <c r="F22" i="19" s="1"/>
  <c r="E86" i="19"/>
  <c r="F86" i="19" s="1"/>
  <c r="E11" i="19"/>
  <c r="F11" i="19" s="1"/>
  <c r="E27" i="19"/>
  <c r="F27" i="19" s="1"/>
  <c r="E43" i="19"/>
  <c r="F43" i="19" s="1"/>
  <c r="E71" i="19"/>
  <c r="F71" i="19" s="1"/>
  <c r="E19" i="19"/>
  <c r="F19" i="19" s="1"/>
  <c r="E35" i="19"/>
  <c r="F35" i="19" s="1"/>
  <c r="E55" i="19"/>
  <c r="F55" i="19" s="1"/>
  <c r="E75" i="19"/>
  <c r="F75" i="19" s="1"/>
  <c r="E59" i="19"/>
  <c r="F59" i="19" s="1"/>
  <c r="E79" i="19"/>
  <c r="F79" i="19" s="1"/>
  <c r="E51" i="19"/>
  <c r="F51" i="19" s="1"/>
  <c r="E67" i="19"/>
  <c r="F67" i="19" s="1"/>
  <c r="E83" i="19"/>
  <c r="F83" i="19" s="1"/>
  <c r="D11" i="22"/>
  <c r="P5" i="23"/>
  <c r="AE25" i="23" s="1"/>
  <c r="N10" i="22"/>
  <c r="AH10" i="22"/>
  <c r="AJ5" i="23" s="1"/>
  <c r="AY25" i="23" s="1"/>
  <c r="AY26" i="23" s="1"/>
  <c r="Q5" i="1"/>
  <c r="AD10" i="22"/>
  <c r="AF5" i="23" s="1"/>
  <c r="AU25" i="23" s="1"/>
  <c r="AU26" i="23" s="1"/>
  <c r="R10" i="22"/>
  <c r="AI11" i="23" s="1"/>
  <c r="D10" i="22"/>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E85" i="19"/>
  <c r="F85" i="19" s="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T5" i="1"/>
  <c r="M84" i="17"/>
  <c r="D12" i="2"/>
  <c r="F8" i="2"/>
  <c r="K8" i="2" s="1"/>
  <c r="O84" i="17"/>
  <c r="D9" i="2"/>
  <c r="R10" i="23"/>
  <c r="R8" i="23" s="1"/>
  <c r="T6" i="1"/>
  <c r="B16" i="2"/>
  <c r="B17" i="2"/>
  <c r="U11" i="23"/>
  <c r="F5" i="23"/>
  <c r="U25" i="23" s="1"/>
  <c r="U26" i="23" s="1"/>
  <c r="N5" i="23"/>
  <c r="AC25" i="23" s="1"/>
  <c r="AC26" i="23" s="1"/>
  <c r="AC11" i="23"/>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65" i="1"/>
  <c r="T72" i="1"/>
  <c r="T76" i="1"/>
  <c r="T8" i="1"/>
  <c r="T20" i="1"/>
  <c r="T25" i="1"/>
  <c r="T31" i="1"/>
  <c r="T36" i="1"/>
  <c r="T44" i="1"/>
  <c r="T52" i="1"/>
  <c r="T54" i="1"/>
  <c r="T66" i="1"/>
  <c r="T69" i="1"/>
  <c r="T73" i="1"/>
  <c r="T80" i="1"/>
  <c r="T82" i="1"/>
  <c r="F14" i="2"/>
  <c r="J3" i="2"/>
  <c r="K9" i="2"/>
  <c r="J9" i="2"/>
  <c r="B13" i="2"/>
  <c r="K12" i="2"/>
  <c r="J12" i="2"/>
  <c r="J10" i="2"/>
  <c r="K10" i="2"/>
  <c r="F13" i="2"/>
  <c r="K3" i="2"/>
  <c r="AO8" i="23"/>
  <c r="AL8" i="23"/>
  <c r="AY8" i="23"/>
  <c r="A9" i="23"/>
  <c r="AU11" i="23"/>
  <c r="AE11" i="23"/>
  <c r="AG8" i="23"/>
  <c r="AA8" i="23"/>
  <c r="AI8" i="23"/>
  <c r="AB8" i="23"/>
  <c r="AP8" i="23"/>
  <c r="X8" i="23"/>
  <c r="AF8" i="23"/>
  <c r="AJ8" i="23"/>
  <c r="AN8" i="23"/>
  <c r="AR8" i="23"/>
  <c r="AV8" i="23"/>
  <c r="AM8" i="23"/>
  <c r="U8" i="23"/>
  <c r="AQ8" i="23"/>
  <c r="Z8" i="23"/>
  <c r="AW8" i="23"/>
  <c r="AX8" i="23"/>
  <c r="Y8" i="23"/>
  <c r="AH8" i="23"/>
  <c r="AE8" i="23"/>
  <c r="U27" i="23"/>
  <c r="AS8" i="23"/>
  <c r="V8" i="23"/>
  <c r="AT8" i="23"/>
  <c r="AD8" i="23"/>
  <c r="AU8" i="23"/>
  <c r="AC8" i="23"/>
  <c r="AK8" i="23"/>
  <c r="W8" i="23"/>
  <c r="C4" i="23"/>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64" i="19"/>
  <c r="F64" i="19" s="1"/>
  <c r="E68" i="19"/>
  <c r="F68" i="19" s="1"/>
  <c r="E72" i="19"/>
  <c r="F72" i="19" s="1"/>
  <c r="E76" i="19"/>
  <c r="F76" i="19" s="1"/>
  <c r="E80" i="19"/>
  <c r="F80" i="19" s="1"/>
  <c r="E84" i="19"/>
  <c r="F84" i="19" s="1"/>
  <c r="E9" i="19"/>
  <c r="F9"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E61" i="19"/>
  <c r="F61" i="19" s="1"/>
  <c r="E65" i="19"/>
  <c r="F65" i="19" s="1"/>
  <c r="E69" i="19"/>
  <c r="F69" i="19" s="1"/>
  <c r="E73" i="19"/>
  <c r="F73" i="19" s="1"/>
  <c r="E77" i="19"/>
  <c r="F77" i="19" s="1"/>
  <c r="E81" i="19"/>
  <c r="F81"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G11" i="22"/>
  <c r="D12" i="22"/>
  <c r="J12" i="22"/>
  <c r="L12" i="22"/>
  <c r="R12" i="22"/>
  <c r="AF12" i="22"/>
  <c r="AH12" i="22"/>
  <c r="T14" i="1"/>
  <c r="T18" i="1"/>
  <c r="T24" i="1"/>
  <c r="T28" i="1"/>
  <c r="T30" i="1"/>
  <c r="T34" i="1"/>
  <c r="T38" i="1"/>
  <c r="T40" i="1"/>
  <c r="T42" i="1"/>
  <c r="T46" i="1"/>
  <c r="T48" i="1"/>
  <c r="T56" i="1"/>
  <c r="T64" i="1"/>
  <c r="T68" i="1"/>
  <c r="T78" i="1"/>
  <c r="G12" i="22"/>
  <c r="BC24" i="23"/>
  <c r="W27" i="23"/>
  <c r="BC33" i="23"/>
  <c r="AE26" i="23"/>
  <c r="H5" i="23" l="1"/>
  <c r="W25" i="23" s="1"/>
  <c r="W26" i="23" s="1"/>
  <c r="W11" i="23"/>
  <c r="T5" i="23"/>
  <c r="AI25" i="23" s="1"/>
  <c r="AI26" i="23" s="1"/>
  <c r="AY11" i="23"/>
  <c r="AA11" i="23"/>
  <c r="S5" i="23"/>
  <c r="AH25" i="23" s="1"/>
  <c r="AH26" i="23" s="1"/>
  <c r="AH11" i="23"/>
  <c r="AB11" i="23"/>
  <c r="M5" i="23"/>
  <c r="AB25" i="23" s="1"/>
  <c r="AB26" i="23" s="1"/>
  <c r="AJ11" i="23"/>
  <c r="U5" i="23"/>
  <c r="AJ25" i="23" s="1"/>
  <c r="AJ26" i="23" s="1"/>
  <c r="AE5" i="23"/>
  <c r="AT25" i="23" s="1"/>
  <c r="AT26" i="23" s="1"/>
  <c r="AT11" i="23"/>
  <c r="Y11" i="23"/>
  <c r="J5" i="23"/>
  <c r="Y25" i="23" s="1"/>
  <c r="Y26" i="23" s="1"/>
  <c r="AP11" i="23"/>
  <c r="AA5" i="23"/>
  <c r="AP25" i="23" s="1"/>
  <c r="AP26" i="23" s="1"/>
  <c r="K5" i="23"/>
  <c r="Z25" i="23" s="1"/>
  <c r="Z26" i="23" s="1"/>
  <c r="Z11" i="23"/>
  <c r="AL11" i="23"/>
  <c r="W5" i="23"/>
  <c r="AL25" i="23" s="1"/>
  <c r="AL26" i="23" s="1"/>
  <c r="AG5" i="23"/>
  <c r="AV25" i="23" s="1"/>
  <c r="AV26" i="23" s="1"/>
  <c r="AV11" i="23"/>
  <c r="X11" i="23"/>
  <c r="I5" i="23"/>
  <c r="X25" i="23" s="1"/>
  <c r="X26" i="23" s="1"/>
  <c r="V11" i="23"/>
  <c r="G5" i="23"/>
  <c r="V25" i="23" s="1"/>
  <c r="V26" i="23" s="1"/>
  <c r="Z5" i="23"/>
  <c r="AO25" i="23" s="1"/>
  <c r="AO26" i="23" s="1"/>
  <c r="AO11" i="23"/>
  <c r="AH5" i="23"/>
  <c r="AW25" i="23" s="1"/>
  <c r="AW26" i="23" s="1"/>
  <c r="AW11" i="23"/>
  <c r="AF11" i="23"/>
  <c r="Q5" i="23"/>
  <c r="AF25" i="23" s="1"/>
  <c r="AF26" i="23" s="1"/>
  <c r="V5" i="23"/>
  <c r="AK25" i="23" s="1"/>
  <c r="AK26" i="23" s="1"/>
  <c r="AK11" i="23"/>
  <c r="AN11" i="23"/>
  <c r="AX15" i="23" s="1"/>
  <c r="Y5" i="23"/>
  <c r="AN25" i="23" s="1"/>
  <c r="AN26" i="23" s="1"/>
  <c r="AC5" i="23"/>
  <c r="AR25" i="23" s="1"/>
  <c r="AR26" i="23" s="1"/>
  <c r="AR11" i="23"/>
  <c r="AG11" i="23"/>
  <c r="AK15" i="23" s="1"/>
  <c r="R5" i="23"/>
  <c r="AG25" i="23" s="1"/>
  <c r="AG26" i="23" s="1"/>
  <c r="X5" i="23"/>
  <c r="AM25" i="23" s="1"/>
  <c r="AM26" i="23" s="1"/>
  <c r="AM11" i="23"/>
  <c r="AB5" i="23"/>
  <c r="AQ25" i="23" s="1"/>
  <c r="AQ26" i="23" s="1"/>
  <c r="AQ11" i="23"/>
  <c r="AD5" i="23"/>
  <c r="AS25" i="23" s="1"/>
  <c r="AS26" i="23" s="1"/>
  <c r="AS11" i="23"/>
  <c r="AX11" i="23"/>
  <c r="AI5" i="23"/>
  <c r="AX25" i="23" s="1"/>
  <c r="AX26" i="23" s="1"/>
  <c r="AD11" i="23"/>
  <c r="O5" i="23"/>
  <c r="AD25" i="23" s="1"/>
  <c r="AD26" i="23" s="1"/>
  <c r="D14" i="2"/>
  <c r="J14" i="2"/>
  <c r="K14" i="2"/>
  <c r="J8" i="2"/>
  <c r="K16" i="2"/>
  <c r="J16" i="2"/>
  <c r="B11" i="2"/>
  <c r="F11" i="2"/>
  <c r="D16" i="2"/>
  <c r="AD14" i="23"/>
  <c r="J17" i="2"/>
  <c r="K17" i="2"/>
  <c r="D11" i="2"/>
  <c r="AX16" i="23"/>
  <c r="K13" i="2"/>
  <c r="J13" i="2"/>
  <c r="V16" i="23"/>
  <c r="W14" i="23"/>
  <c r="AC14" i="23"/>
  <c r="W16" i="23"/>
  <c r="AV15" i="23"/>
  <c r="AG16" i="23"/>
  <c r="AC15" i="23"/>
  <c r="V15" i="23"/>
  <c r="AL16" i="23"/>
  <c r="U16" i="23"/>
  <c r="AR16" i="23"/>
  <c r="V14" i="23"/>
  <c r="BC27" i="23"/>
  <c r="BC30" i="23" s="1"/>
  <c r="AD16" i="23"/>
  <c r="AA16" i="23"/>
  <c r="AU15" i="23"/>
  <c r="AN14" i="23"/>
  <c r="AP15" i="23"/>
  <c r="AO15" i="23"/>
  <c r="AS16" i="23"/>
  <c r="AJ14" i="23"/>
  <c r="AB14" i="23"/>
  <c r="AV16" i="23"/>
  <c r="AH14" i="23"/>
  <c r="AN15" i="23"/>
  <c r="AW15" i="23"/>
  <c r="AX14" i="23"/>
  <c r="G24" i="19"/>
  <c r="AO16" i="23"/>
  <c r="U14" i="23"/>
  <c r="AJ16" i="23"/>
  <c r="AI15" i="23"/>
  <c r="AJ15" i="23"/>
  <c r="X15" i="23"/>
  <c r="AC16" i="23"/>
  <c r="AW16" i="23"/>
  <c r="AH15" i="23"/>
  <c r="AR14" i="23"/>
  <c r="AG14" i="23"/>
  <c r="Z16" i="23"/>
  <c r="Y14" i="23"/>
  <c r="Y16" i="23"/>
  <c r="AH16" i="23"/>
  <c r="AQ14" i="23"/>
  <c r="AO14" i="23"/>
  <c r="AU14" i="23"/>
  <c r="AK14" i="23"/>
  <c r="AY15" i="23"/>
  <c r="AD15" i="23"/>
  <c r="AQ15" i="23"/>
  <c r="AY16" i="23"/>
  <c r="AS15" i="23"/>
  <c r="AY14" i="23"/>
  <c r="AA15" i="23"/>
  <c r="AG15" i="23"/>
  <c r="AF14" i="23"/>
  <c r="Z14" i="23"/>
  <c r="AI14" i="23"/>
  <c r="AI16" i="23"/>
  <c r="AS14" i="23"/>
  <c r="AB15" i="23"/>
  <c r="AL14" i="23"/>
  <c r="AP16" i="23"/>
  <c r="Z15" i="23"/>
  <c r="AN16" i="23"/>
  <c r="AV14" i="23"/>
  <c r="X14" i="23"/>
  <c r="AM16" i="23"/>
  <c r="A6" i="23"/>
  <c r="R11" i="23"/>
  <c r="Y15" i="23"/>
  <c r="AT14" i="23"/>
  <c r="AF16" i="23"/>
  <c r="AE16" i="23"/>
  <c r="AW14" i="23"/>
  <c r="AE14" i="23"/>
  <c r="X16" i="23"/>
  <c r="AU16" i="23"/>
  <c r="AL15" i="23"/>
  <c r="AE15" i="23"/>
  <c r="AF15" i="23"/>
  <c r="AR15" i="23"/>
  <c r="AT16" i="23"/>
  <c r="AA14" i="23"/>
  <c r="AT15" i="23"/>
  <c r="AK16" i="23"/>
  <c r="AM14" i="23"/>
  <c r="AM15" i="23"/>
  <c r="AQ16" i="23"/>
  <c r="AP14" i="23"/>
  <c r="AB16" i="23"/>
  <c r="G43" i="19"/>
  <c r="G9" i="19"/>
  <c r="G68" i="19"/>
  <c r="G73" i="19"/>
  <c r="G26" i="19"/>
  <c r="G57" i="19"/>
  <c r="G56" i="19"/>
  <c r="G58" i="19"/>
  <c r="G72" i="19"/>
  <c r="G41" i="19"/>
  <c r="G37" i="19"/>
  <c r="G84" i="19"/>
  <c r="G36" i="19"/>
  <c r="G74" i="19"/>
  <c r="G40" i="19"/>
  <c r="G75" i="19"/>
  <c r="G11" i="19"/>
  <c r="G53" i="19"/>
  <c r="G21" i="19"/>
  <c r="G52" i="19"/>
  <c r="G59" i="19"/>
  <c r="G10" i="19"/>
  <c r="G25" i="19"/>
  <c r="G27" i="19"/>
  <c r="G42" i="19"/>
  <c r="G81" i="19"/>
  <c r="G65" i="19"/>
  <c r="G49" i="19"/>
  <c r="G33" i="19"/>
  <c r="G17" i="19"/>
  <c r="G80" i="19"/>
  <c r="G64" i="19"/>
  <c r="G48" i="19"/>
  <c r="G32" i="19"/>
  <c r="G16" i="19"/>
  <c r="G69" i="19"/>
  <c r="G20" i="19"/>
  <c r="G79" i="19"/>
  <c r="G47" i="19"/>
  <c r="G78" i="19"/>
  <c r="G46" i="19"/>
  <c r="G77" i="19"/>
  <c r="G45" i="19"/>
  <c r="G13" i="19"/>
  <c r="G60" i="19"/>
  <c r="G44" i="19"/>
  <c r="G87" i="19"/>
  <c r="G71" i="19"/>
  <c r="G55" i="19"/>
  <c r="G39" i="19"/>
  <c r="G23" i="19"/>
  <c r="G86" i="19"/>
  <c r="G70" i="19"/>
  <c r="G54" i="19"/>
  <c r="G38" i="19"/>
  <c r="G22" i="19"/>
  <c r="G85" i="19"/>
  <c r="G31" i="19"/>
  <c r="G30" i="19"/>
  <c r="G12" i="19"/>
  <c r="G63" i="19"/>
  <c r="G15" i="19"/>
  <c r="G62" i="19"/>
  <c r="G14" i="19"/>
  <c r="G61" i="19"/>
  <c r="G29" i="19"/>
  <c r="G76" i="19"/>
  <c r="G28" i="19"/>
  <c r="G83" i="19"/>
  <c r="G67" i="19"/>
  <c r="G51" i="19"/>
  <c r="G35" i="19"/>
  <c r="G19" i="19"/>
  <c r="G82" i="19"/>
  <c r="G66" i="19"/>
  <c r="G50" i="19"/>
  <c r="G34" i="19"/>
  <c r="G18" i="19"/>
  <c r="U15" i="23" l="1"/>
  <c r="BC26" i="23"/>
  <c r="W15" i="23"/>
  <c r="BC25" i="23"/>
  <c r="H6" i="23"/>
  <c r="BC34" i="23"/>
  <c r="J11" i="2"/>
  <c r="K11" i="2"/>
  <c r="I40" i="19"/>
  <c r="H60" i="19"/>
  <c r="H40" i="19"/>
  <c r="H20" i="19"/>
  <c r="I60" i="19"/>
  <c r="I20" i="19"/>
  <c r="I35" i="19"/>
  <c r="H43" i="19"/>
  <c r="H35" i="19"/>
  <c r="I55" i="19"/>
  <c r="I70" i="19"/>
  <c r="H70" i="19"/>
  <c r="I43" i="19"/>
  <c r="H55" i="19"/>
  <c r="H10" i="19"/>
  <c r="H75" i="19"/>
  <c r="I71" i="19"/>
  <c r="I50" i="19"/>
  <c r="H74" i="19"/>
  <c r="H77" i="19"/>
  <c r="H29" i="19"/>
  <c r="H24" i="19"/>
  <c r="H38" i="19"/>
  <c r="H79" i="19"/>
  <c r="H15" i="19"/>
  <c r="I25" i="19"/>
  <c r="H19" i="19"/>
  <c r="I65" i="19"/>
  <c r="H84" i="19"/>
  <c r="I64" i="19"/>
  <c r="H51" i="19"/>
  <c r="I23" i="19"/>
  <c r="I42" i="19"/>
  <c r="H13" i="19"/>
  <c r="H61" i="19"/>
  <c r="I85" i="19"/>
  <c r="H50" i="19"/>
  <c r="I56" i="19"/>
  <c r="H87" i="19"/>
  <c r="I87" i="19"/>
  <c r="I24" i="19"/>
  <c r="H31" i="19"/>
  <c r="I29" i="19"/>
  <c r="H56" i="19"/>
  <c r="I26" i="19"/>
  <c r="I76" i="19"/>
  <c r="H45" i="19"/>
  <c r="I61" i="19"/>
  <c r="H47" i="19"/>
  <c r="I41" i="19"/>
  <c r="H18" i="19"/>
  <c r="I36" i="19"/>
  <c r="H83" i="19"/>
  <c r="I39" i="19"/>
  <c r="I75" i="19"/>
  <c r="I10" i="19"/>
  <c r="I58" i="19"/>
  <c r="H41" i="19"/>
  <c r="H72" i="19"/>
  <c r="H63" i="19"/>
  <c r="I49" i="19"/>
  <c r="I57" i="19"/>
  <c r="I37" i="19"/>
  <c r="I73" i="19"/>
  <c r="H26" i="19"/>
  <c r="H58" i="19"/>
  <c r="I12" i="19"/>
  <c r="I44" i="19"/>
  <c r="I74" i="19"/>
  <c r="H27" i="19"/>
  <c r="H59" i="19"/>
  <c r="I27" i="19"/>
  <c r="I59" i="19"/>
  <c r="H12" i="19"/>
  <c r="H28" i="19"/>
  <c r="H44" i="19"/>
  <c r="H78" i="19"/>
  <c r="I14" i="19"/>
  <c r="I30" i="19"/>
  <c r="I46" i="19"/>
  <c r="I62" i="19"/>
  <c r="I80" i="19"/>
  <c r="H17" i="19"/>
  <c r="H33" i="19"/>
  <c r="H49" i="19"/>
  <c r="H65" i="19"/>
  <c r="H81" i="19"/>
  <c r="H14" i="19"/>
  <c r="H46" i="19"/>
  <c r="H80" i="19"/>
  <c r="I32" i="19"/>
  <c r="I68" i="19"/>
  <c r="H23" i="19"/>
  <c r="I33" i="19"/>
  <c r="H76" i="19"/>
  <c r="I19" i="19"/>
  <c r="I51" i="19"/>
  <c r="I67" i="19"/>
  <c r="I83" i="19"/>
  <c r="H36" i="19"/>
  <c r="H52" i="19"/>
  <c r="H68" i="19"/>
  <c r="H86" i="19"/>
  <c r="I22" i="19"/>
  <c r="I38" i="19"/>
  <c r="I54" i="19"/>
  <c r="I72" i="19"/>
  <c r="H9" i="19"/>
  <c r="H25" i="19"/>
  <c r="H57" i="19"/>
  <c r="H73" i="19"/>
  <c r="I11" i="19"/>
  <c r="I77" i="19"/>
  <c r="H30" i="19"/>
  <c r="H62" i="19"/>
  <c r="I16" i="19"/>
  <c r="I52" i="19"/>
  <c r="I86" i="19"/>
  <c r="H39" i="19"/>
  <c r="H71" i="19"/>
  <c r="I21" i="19"/>
  <c r="I53" i="19"/>
  <c r="H42" i="19"/>
  <c r="I28" i="19"/>
  <c r="H11" i="19"/>
  <c r="I17" i="19"/>
  <c r="I13" i="19"/>
  <c r="I45" i="19"/>
  <c r="I81" i="19"/>
  <c r="H34" i="19"/>
  <c r="H66" i="19"/>
  <c r="I48" i="19"/>
  <c r="I82" i="19"/>
  <c r="H67" i="19"/>
  <c r="I15" i="19"/>
  <c r="I31" i="19"/>
  <c r="I47" i="19"/>
  <c r="I63" i="19"/>
  <c r="I79" i="19"/>
  <c r="H16" i="19"/>
  <c r="H32" i="19"/>
  <c r="H48" i="19"/>
  <c r="H64" i="19"/>
  <c r="H82" i="19"/>
  <c r="I18" i="19"/>
  <c r="I34" i="19"/>
  <c r="I66" i="19"/>
  <c r="I84" i="19"/>
  <c r="H21" i="19"/>
  <c r="H37" i="19"/>
  <c r="H53" i="19"/>
  <c r="H69" i="19"/>
  <c r="H85" i="19"/>
  <c r="I69" i="19"/>
  <c r="H22" i="19"/>
  <c r="H54" i="19"/>
  <c r="I9" i="19"/>
  <c r="I78" i="19"/>
  <c r="BC29" i="23" l="1"/>
  <c r="BC31" i="23" s="1"/>
  <c r="BC35"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C4" authorId="0" shapeId="0" xr:uid="{00000000-0006-0000-0500-000001000000}">
      <text>
        <r>
          <rPr>
            <sz val="8"/>
            <color indexed="81"/>
            <rFont val="Tahoma"/>
            <family val="2"/>
          </rPr>
          <t xml:space="preserve">From Victoria in Future, average of forecasts for 2018 and 2019
</t>
        </r>
      </text>
    </comment>
    <comment ref="D4" authorId="0" shapeId="0" xr:uid="{00000000-0006-0000-0500-000002000000}">
      <text>
        <r>
          <rPr>
            <sz val="8"/>
            <color indexed="81"/>
            <rFont val="Tahoma"/>
            <family val="2"/>
          </rPr>
          <t>From Victoria in Future, average of forecasts for 2018 and 2019</t>
        </r>
      </text>
    </comment>
    <comment ref="E4" authorId="0" shapeId="0" xr:uid="{00000000-0006-0000-0500-000003000000}">
      <text>
        <r>
          <rPr>
            <sz val="11"/>
            <color indexed="81"/>
            <rFont val="Tahoma"/>
            <family val="2"/>
          </rPr>
          <t>From Electronic Gaming Machine Venue Level Expenditure on VCGLR website, as at June 2018, Source: https://www.vcgr.vic.gov.au/CA256F800017E8D4/VCGLR/2C4FB00D26AF1EFFCA257B320078D3F5?OpenDocument</t>
        </r>
      </text>
    </comment>
    <comment ref="F4" authorId="0" shapeId="0" xr:uid="{00000000-0006-0000-0500-000004000000}">
      <text>
        <r>
          <rPr>
            <sz val="11"/>
            <color indexed="81"/>
            <rFont val="Tahoma"/>
            <family val="2"/>
          </rPr>
          <t>From Electronic Gaming Machine Venue Level Expenditure on VCGLR website, as at June 2018, Source: https://www.vcgr.vic.gov.au/CA256F800017E8D4/VCGLR/2C4FB00D26AF1EFFCA257B320078D3F5?OpenDocument</t>
        </r>
      </text>
    </comment>
  </commentList>
</comments>
</file>

<file path=xl/sharedStrings.xml><?xml version="1.0" encoding="utf-8"?>
<sst xmlns="http://schemas.openxmlformats.org/spreadsheetml/2006/main" count="7734" uniqueCount="1532">
  <si>
    <t>Converting Data by Municpality to Grouped Municpalities</t>
  </si>
  <si>
    <t>Converter: Place information for individual municipalities in column C, and the data is grouped in line with the grouped municipalities for Gambling data in column F</t>
  </si>
  <si>
    <t>Municipalities</t>
  </si>
  <si>
    <t>Grouped Municipalities</t>
  </si>
  <si>
    <t>Total Victoria</t>
  </si>
  <si>
    <t>Total Melbourne metro.</t>
  </si>
  <si>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</si>
  <si>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</si>
  <si>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</si>
  <si>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</si>
  <si>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</si>
  <si>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</si>
  <si>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</si>
  <si>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</si>
  <si>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</si>
  <si>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</si>
  <si>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</si>
  <si>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</si>
  <si>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</si>
  <si>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</si>
  <si>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</si>
  <si>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</si>
  <si>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</si>
  <si>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</si>
  <si>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</si>
  <si>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</si>
  <si>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</si>
  <si>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</si>
  <si>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</si>
  <si>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</si>
  <si>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</si>
  <si>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</si>
  <si>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</si>
  <si>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</si>
  <si>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</si>
  <si>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</si>
  <si>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</si>
  <si>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</si>
  <si>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</si>
  <si>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</si>
  <si>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</si>
  <si>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La Trobe</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</si>
  <si>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</si>
  <si>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</si>
  <si>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</si>
  <si>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</si>
  <si>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</si>
  <si>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</si>
  <si>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</si>
  <si>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</si>
  <si>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</si>
  <si>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</si>
  <si>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</si>
  <si>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</si>
  <si>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</si>
  <si>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</si>
  <si>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</si>
  <si>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</si>
  <si>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</si>
  <si>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</si>
  <si>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</si>
  <si>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</si>
  <si>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</si>
  <si>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</si>
  <si>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</si>
  <si>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</si>
  <si>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</si>
  <si>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</si>
  <si>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</si>
  <si>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</si>
  <si>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</si>
  <si>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</si>
  <si>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</si>
  <si>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</si>
  <si>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</si>
  <si>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</si>
  <si>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</si>
  <si>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</si>
  <si>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</si>
  <si>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</si>
  <si>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</si>
  <si>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</si>
  <si>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</si>
  <si>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</si>
  <si>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</si>
  <si>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</si>
  <si>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</si>
  <si>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</si>
  <si>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</si>
  <si>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</si>
  <si>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</si>
  <si>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</si>
  <si>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</si>
  <si>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</si>
  <si>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</si>
  <si>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</si>
  <si>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</si>
  <si>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</si>
  <si>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</si>
  <si>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</si>
  <si>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</si>
  <si>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</si>
  <si>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</si>
  <si>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</si>
  <si>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Ararat, Southern Grampians</t>
  </si>
  <si>
    <t>Ballarat</t>
  </si>
  <si>
    <t>Banyule</t>
  </si>
  <si>
    <t>Bass Coast</t>
  </si>
  <si>
    <t>Baw Baw</t>
  </si>
  <si>
    <t>Bayside</t>
  </si>
  <si>
    <t>Benalla</t>
  </si>
  <si>
    <t>Boroondara</t>
  </si>
  <si>
    <t>Brimbank</t>
  </si>
  <si>
    <t>Buloke</t>
  </si>
  <si>
    <t>Campaspe</t>
  </si>
  <si>
    <t>Cardinia</t>
  </si>
  <si>
    <t>Casey</t>
  </si>
  <si>
    <t>Central Goldfields, Hepburn</t>
  </si>
  <si>
    <t>Colac-Otway</t>
  </si>
  <si>
    <t>Corangamite, Queenscliffe</t>
  </si>
  <si>
    <t>Darebin</t>
  </si>
  <si>
    <t>East Gippsland</t>
  </si>
  <si>
    <t>Frankston</t>
  </si>
  <si>
    <t>Gannawarra, Mt Alexander, Murrindindi, Strathbogie</t>
  </si>
  <si>
    <t>Glen Eira</t>
  </si>
  <si>
    <t>Glenelg</t>
  </si>
  <si>
    <t>Golden Plains</t>
  </si>
  <si>
    <t>Greater Bendigo</t>
  </si>
  <si>
    <t>Greater Dandenong</t>
  </si>
  <si>
    <t>Greater Geelong</t>
  </si>
  <si>
    <t>Greater Shepparton</t>
  </si>
  <si>
    <t>Hepburn, Central Goldfields</t>
  </si>
  <si>
    <t>Hindmarsh</t>
  </si>
  <si>
    <t>Hobsons Bay</t>
  </si>
  <si>
    <t>Horsham</t>
  </si>
  <si>
    <t>Hume</t>
  </si>
  <si>
    <t>Indigo</t>
  </si>
  <si>
    <t>Kingston</t>
  </si>
  <si>
    <t>Knox</t>
  </si>
  <si>
    <t>Latrobe</t>
  </si>
  <si>
    <t>Loddon</t>
  </si>
  <si>
    <t>Macedon Ranges</t>
  </si>
  <si>
    <t>Manningham</t>
  </si>
  <si>
    <t>Mansfield, Moria, Towong</t>
  </si>
  <si>
    <t>Maribyrnong</t>
  </si>
  <si>
    <t>Maroondah</t>
  </si>
  <si>
    <t>Melbourne</t>
  </si>
  <si>
    <t>Melton</t>
  </si>
  <si>
    <t>Mildura</t>
  </si>
  <si>
    <t>Mitchell</t>
  </si>
  <si>
    <t>Moira, Mansfield, Towong</t>
  </si>
  <si>
    <t>Monash</t>
  </si>
  <si>
    <t>Moonee Valley</t>
  </si>
  <si>
    <t>Moorabool</t>
  </si>
  <si>
    <t>Moreland</t>
  </si>
  <si>
    <t>Mornington Peninsula</t>
  </si>
  <si>
    <t>Mt Alexander, Gannawarra, Murrindindi, Strathbogie</t>
  </si>
  <si>
    <t>Moyne</t>
  </si>
  <si>
    <t>Murrindindi, Mt Alexander, Gannawarra, Strathbogie</t>
  </si>
  <si>
    <t>Nillumbik</t>
  </si>
  <si>
    <t>Northern Grampians</t>
  </si>
  <si>
    <t>Port Phillip</t>
  </si>
  <si>
    <t>Pyrenees</t>
  </si>
  <si>
    <t>Queenscliffe, Corangamite</t>
  </si>
  <si>
    <t>South Gippsland</t>
  </si>
  <si>
    <t>Southern Grampians, Ararat</t>
  </si>
  <si>
    <t>Stonnington</t>
  </si>
  <si>
    <t>Strathbogie, Murrindindi, Mt Alexander, Gannawarra</t>
  </si>
  <si>
    <t>Surf Coast</t>
  </si>
  <si>
    <t>Swan Hill</t>
  </si>
  <si>
    <t>Towong, Moira, Mansfield</t>
  </si>
  <si>
    <t>Wangaratta</t>
  </si>
  <si>
    <t>Wellington</t>
  </si>
  <si>
    <t xml:space="preserve">Whitehorse </t>
  </si>
  <si>
    <t>Whittlesea</t>
  </si>
  <si>
    <t>Wyndham</t>
  </si>
  <si>
    <t xml:space="preserve">Yarra </t>
  </si>
  <si>
    <t>Yarra Ranges</t>
  </si>
  <si>
    <t>Yarriambiack</t>
  </si>
  <si>
    <t>Warrnambool</t>
  </si>
  <si>
    <t>West Wimmera</t>
  </si>
  <si>
    <t>Wodonga</t>
  </si>
  <si>
    <t>Address</t>
  </si>
  <si>
    <t>C</t>
  </si>
  <si>
    <t>M</t>
  </si>
  <si>
    <t>H</t>
  </si>
  <si>
    <t>329 New Street Brighton, 3186</t>
  </si>
  <si>
    <t>239-249 Hare Street Echuca, 3564</t>
  </si>
  <si>
    <t>10691-10699 Princes Highway Warrnambool, 3280</t>
  </si>
  <si>
    <t>5-6 The Esplanade Cowes, 3922</t>
  </si>
  <si>
    <t>Ararat</t>
  </si>
  <si>
    <r>
      <rPr>
        <sz val="18"/>
        <color indexed="9"/>
        <rFont val="Garamond"/>
        <family val="1"/>
      </rPr>
      <t xml:space="preserve">EGMs and Entitlements by Venue and Municipality </t>
    </r>
    <r>
      <rPr>
        <sz val="8"/>
        <color indexed="9"/>
        <rFont val="Garamond"/>
        <family val="1"/>
      </rPr>
      <t xml:space="preserve">
Updated February 2014
Source: Victorian Commission for Gambling and Liquor Regulation</t>
    </r>
  </si>
  <si>
    <t>Click on downward arrows to select a venue or municipality</t>
  </si>
  <si>
    <t>Venues</t>
  </si>
  <si>
    <t xml:space="preserve">Venue Name </t>
  </si>
  <si>
    <t>Municipality</t>
  </si>
  <si>
    <t>Club/        Hotel</t>
  </si>
  <si>
    <t>Country/ Metro</t>
  </si>
  <si>
    <t>Attached Entitlements</t>
  </si>
  <si>
    <t>Licensed EGMs</t>
  </si>
  <si>
    <t>Losses 2012/13</t>
  </si>
  <si>
    <t>Losses per attached entitlement</t>
  </si>
  <si>
    <t>Relative to Victorian LGAs</t>
  </si>
  <si>
    <t>Abruzzo Club</t>
  </si>
  <si>
    <t>377 LYGON STREET EAST BRUNSWICK VIC, 3057</t>
  </si>
  <si>
    <t>Aces Sporting Club</t>
  </si>
  <si>
    <t>CNR HUTTON AND SPRINGVALE ROADS KEYSBOROUGH VIC, 3173</t>
  </si>
  <si>
    <t>Albion Charles Hotel</t>
  </si>
  <si>
    <t>2 CHARLES STREET NORTHCOTE VIC, 3070</t>
  </si>
  <si>
    <t>Albion Hotel</t>
  </si>
  <si>
    <t>327 LONSDALE STREET DANDENONG VIC, 3175</t>
  </si>
  <si>
    <t>Alexandra House Sports Club</t>
  </si>
  <si>
    <t>134 BROWN STREET HAMILTON VIC, 3300</t>
  </si>
  <si>
    <t>All Seasons International Hotel Bendigo</t>
  </si>
  <si>
    <t>171-183 MCIVOR ROAD BENDIGO VIC, 3550</t>
  </si>
  <si>
    <t>Alma Sports Club</t>
  </si>
  <si>
    <t>1 WILKS STREET NORTH CAULFIELD, 3161</t>
  </si>
  <si>
    <t>Altona Bowling Club</t>
  </si>
  <si>
    <t>113 CIVIC PARADE ALTONA VIC, 3018</t>
  </si>
  <si>
    <t>Altona Rsl</t>
  </si>
  <si>
    <t>31 SARGOOD STREET ALTONA VIC, 3018</t>
  </si>
  <si>
    <t>Altona Sports Club</t>
  </si>
  <si>
    <t>11 ALTONA ROAD SEAHOLME VIC, 3018</t>
  </si>
  <si>
    <t>American Hotel</t>
  </si>
  <si>
    <t>Amstel Golf Club</t>
  </si>
  <si>
    <t>1000 CRANBOURNE-FRANKSTON ROAD CRANBOURNE VIC, 3977</t>
  </si>
  <si>
    <t>Angel Tavern</t>
  </si>
  <si>
    <t>641 DANDENONG ROAD MALVERN, 3144</t>
  </si>
  <si>
    <t>Anglers Tavern</t>
  </si>
  <si>
    <t>2 RALEIGH ROAD MARIBYRNONG VIC, 3032</t>
  </si>
  <si>
    <t>Anglesea Golf Club</t>
  </si>
  <si>
    <t>GOLF LINKS ROAD ANGLESEA VIC, 3230</t>
  </si>
  <si>
    <t>Ararat Rsl</t>
  </si>
  <si>
    <t>74-76 HIGH STREET ARARAT VIC, 3377</t>
  </si>
  <si>
    <t>Ashley Hotel</t>
  </si>
  <si>
    <t>226 BALLARAT ROAD BRAYBROOK VIC, 3019</t>
  </si>
  <si>
    <t>Aspendale Edithvale Rsl</t>
  </si>
  <si>
    <t>111 KINROSS AVENUE EDITHVALE VIC, 3196</t>
  </si>
  <si>
    <t>Austral Hotel</t>
  </si>
  <si>
    <t>185 MURRAY STREET COLAC VIC, 3250</t>
  </si>
  <si>
    <t>Australian Croatian Association</t>
  </si>
  <si>
    <t>72 WHITEHALL STREET FOOTSCRAY VIC, 3011</t>
  </si>
  <si>
    <t>Australian Croatian National Hall</t>
  </si>
  <si>
    <t>101-111 SEPARATION STREET BELL PARK, 3215</t>
  </si>
  <si>
    <t>Bacchus Marsh Golf Club</t>
  </si>
  <si>
    <t>LINKS ROAD BACCHUS MARSH VIC, 3340</t>
  </si>
  <si>
    <t>Bairnsdale Bowls Club</t>
  </si>
  <si>
    <t>CNR GRANT &amp; PEARSON STS BAIRNSDALE VIC, 3875</t>
  </si>
  <si>
    <t>Bairnsdale Club</t>
  </si>
  <si>
    <t>68 NICHOLSON STREET BAIRNSDALE VIC, 3875</t>
  </si>
  <si>
    <t>Bairnsdale Rsl</t>
  </si>
  <si>
    <t>2 FORGE CREEK ROAD BAIRNSDALE VIC, 3875</t>
  </si>
  <si>
    <t>Bairnsdale Sporting And Convention Centre</t>
  </si>
  <si>
    <t>117 OMEO HIGHWAY BAIRNSDALE VIC, 3875</t>
  </si>
  <si>
    <t>Bakers Arms Hotel</t>
  </si>
  <si>
    <t>355 VICTORIA STREET ABBOTSFORD, 3067</t>
  </si>
  <si>
    <t>Balaclava Hotel</t>
  </si>
  <si>
    <t>123 CARLISLE STREET BALACLAVA VIC, 3183</t>
  </si>
  <si>
    <t>Ballarat Golf Club</t>
  </si>
  <si>
    <t>1802 STURT STREET BALLARAT, 3350</t>
  </si>
  <si>
    <t>Ballarat Leagues Club</t>
  </si>
  <si>
    <t>52 HUMFFRAY STREET NORTH BALLARAT VIC, 3350</t>
  </si>
  <si>
    <t>Ballarat &amp; District Trotting Club</t>
  </si>
  <si>
    <t>BRAY RACEWAY, BELL STREET BALLARAT VIC, 3350</t>
  </si>
  <si>
    <t>Ballcourt Hotel</t>
  </si>
  <si>
    <t>60 MACEDON STREET SUNBURY VIC, 3429</t>
  </si>
  <si>
    <t>Barwon Heads Hotel</t>
  </si>
  <si>
    <t>1 BRIDGE ROAD BARWON HEADS VIC, 3227</t>
  </si>
  <si>
    <t>Batman'S Hill On Collins</t>
  </si>
  <si>
    <t>623 COLLINS STREET MELBOURNE, 3000</t>
  </si>
  <si>
    <t>Baxter Tavern Hotel Motel</t>
  </si>
  <si>
    <t>117 BAXTER-TOORADIN ROAD BAXTER VIC, 3911</t>
  </si>
  <si>
    <t>Bayswater Hotel</t>
  </si>
  <si>
    <t>780 MOUNTAIN HIGHWAY BAYSWATER VIC, 3153</t>
  </si>
  <si>
    <t>Beaumaris Ex-Services Club</t>
  </si>
  <si>
    <t>489 BALCOMBE ROAD BEAUMARIS VIC, 3193</t>
  </si>
  <si>
    <t>Bell'S Hotel</t>
  </si>
  <si>
    <t>157 MORAY STREET SOUTH MELBOURNE, 3205</t>
  </si>
  <si>
    <t>Bell Park Sport &amp; Recreation Club</t>
  </si>
  <si>
    <t>34-70 CALVERT STREET HAMLYN HEIGHTS VIC, 3215</t>
  </si>
  <si>
    <t>Benalla Bowls Club</t>
  </si>
  <si>
    <t>25 ARUNDEL STREET BENALLA VIC, 3672</t>
  </si>
  <si>
    <t>Benalla Golf Club</t>
  </si>
  <si>
    <t>MANSFIELD ROAD BENALLA VIC, 3672</t>
  </si>
  <si>
    <t>Bendigo District Rsl Club</t>
  </si>
  <si>
    <t>73-75 HAVILAH ROAD BENDIGO VIC, 3550</t>
  </si>
  <si>
    <t>Bendigo Stadium</t>
  </si>
  <si>
    <t>134 MARONG ROAD GOLDEN SQUARE, 3555</t>
  </si>
  <si>
    <t>Bentleigh Club</t>
  </si>
  <si>
    <t>33 YAWLA STREET BENTLEIGH VIC, 3204</t>
  </si>
  <si>
    <t>Bentleigh Rsl</t>
  </si>
  <si>
    <t>538 CENTRE ROAD BENTLEIGH VIC, 3204</t>
  </si>
  <si>
    <t>Berwick Inn Taverner</t>
  </si>
  <si>
    <t>1 HIGH STREET BERWICK VIC, 3806</t>
  </si>
  <si>
    <t>Berwick Springs Hotel</t>
  </si>
  <si>
    <t>288-296 CLYDE ROAD BERWICK, 3806</t>
  </si>
  <si>
    <t>Birallee Tavern</t>
  </si>
  <si>
    <t>97-99 MELROSE DRIVE WODONGA VIC, 3690</t>
  </si>
  <si>
    <t>Blackburn Hotel</t>
  </si>
  <si>
    <t>111 WHITEHORSE ROAD BLACKBURN VIC, 3130</t>
  </si>
  <si>
    <t>Blazing Stump Hotel</t>
  </si>
  <si>
    <t>4315 ANZAC PARADE WODONGA VIC, 3690</t>
  </si>
  <si>
    <t>Blue Bell Hotel</t>
  </si>
  <si>
    <t>1216 HOWITT STREET WENDOUREE VIC, 3355</t>
  </si>
  <si>
    <t>Boundary Taverner</t>
  </si>
  <si>
    <t>726 CENTRE ROAD BENTLEIGH EAST VIC, 3165</t>
  </si>
  <si>
    <t>Bourke Hill'S Welcome Stranger</t>
  </si>
  <si>
    <t>128 BOURKE STREET MELBOURNE VIC, 3000</t>
  </si>
  <si>
    <t>Box Hill Golf Club</t>
  </si>
  <si>
    <t>202 STATION STREET BOX HILL VIC, 3128</t>
  </si>
  <si>
    <t>Box Hill Rsl</t>
  </si>
  <si>
    <t>26 NELSON ROAD BOX HILL VIC, 3128</t>
  </si>
  <si>
    <t>Braybrook Hotel</t>
  </si>
  <si>
    <t>353 BALLARAT ROAD BRAYBROOK, 3019</t>
  </si>
  <si>
    <t>Bridge Inn Hotel</t>
  </si>
  <si>
    <t>1425 PLENTY ROAD MERNDA, 3754</t>
  </si>
  <si>
    <t>Broadmeadows Sporting Club</t>
  </si>
  <si>
    <t>111 SUNSET BOULEVARD JACANA VIC, 3047</t>
  </si>
  <si>
    <t>Browns Corner</t>
  </si>
  <si>
    <t>502 SYDNEY ROAD COBURG VIC, 3058</t>
  </si>
  <si>
    <t>Bundoora Bowling Club</t>
  </si>
  <si>
    <t>YULONG RESERVE, CAMERON PARADE BUNDOORA, 3083</t>
  </si>
  <si>
    <t>Bundoora Taverner</t>
  </si>
  <si>
    <t>49 PLENTY ROAD BUNDOORA VIC, 3083</t>
  </si>
  <si>
    <t>Burvale Hotel</t>
  </si>
  <si>
    <t>CNR SPRINGVALE ROAD &amp; BURWOOD HIGHWAY NUNAWADING VIC, 3131</t>
  </si>
  <si>
    <t>Cardinia Club</t>
  </si>
  <si>
    <t>71 RACECOURSE ROAD PAKENHAM VIC, 3810</t>
  </si>
  <si>
    <t>Casa D'Abruzzo Club</t>
  </si>
  <si>
    <t>55 O'HERNS ROAD EPPING VIC, 3076</t>
  </si>
  <si>
    <t>Caulfield Glasshouse</t>
  </si>
  <si>
    <t>STATION STREET CAULFIELD VIC, 3162</t>
  </si>
  <si>
    <t>Caulfield Rsl</t>
  </si>
  <si>
    <t>4 ST GEORGES ROAD ELSTERNWICK VIC, 3185</t>
  </si>
  <si>
    <t>Celtic Club</t>
  </si>
  <si>
    <t>316 - 320 QUEEN STREET MELBOURNE VIC, 3000</t>
  </si>
  <si>
    <t>Century City Walk</t>
  </si>
  <si>
    <t>285-287 SPRINGVALE ROAD GLEN WAVERLEY VIC, 3150</t>
  </si>
  <si>
    <t>Chalambar Golf Club</t>
  </si>
  <si>
    <t>118 GOLF LINKS ROAD ARARAT VIC, 3377</t>
  </si>
  <si>
    <t>Chelsea Heights Hotel</t>
  </si>
  <si>
    <t>1 WELLS ROAD CHELSEA HEIGHTS, 3196</t>
  </si>
  <si>
    <t>Cheltenham Moorabbin Rsl</t>
  </si>
  <si>
    <t>289 CENTRE DANDENONG ROAD CHELTENHAM VIC, 3192</t>
  </si>
  <si>
    <t>Cherry Hill Tavern</t>
  </si>
  <si>
    <t>189 REYNOLDS ROAD DONCASTER EAST, 3109</t>
  </si>
  <si>
    <t>Chirnside Park Country Club</t>
  </si>
  <si>
    <t>68 KINGSWOOD DRIVE CHIRNSIDE PARK, 3116</t>
  </si>
  <si>
    <t>City Bowls Club Colac</t>
  </si>
  <si>
    <t>CENTRAL RESERVE, GRAVESEND STREET COLAC VIC, 3250</t>
  </si>
  <si>
    <t>City Family Hotel</t>
  </si>
  <si>
    <t>41-55 HIGH STREET BENDIGO VIC, 3550</t>
  </si>
  <si>
    <t>City Memorial Bowls Club</t>
  </si>
  <si>
    <t>50-58 CRAMER STREET WARRNAMBOOL VIC, 3280</t>
  </si>
  <si>
    <t>Clayton Bowls Club</t>
  </si>
  <si>
    <t>SPRINGS ROAD CLAYTON SOUTH VIC, 3169</t>
  </si>
  <si>
    <t>Clayton Rsl</t>
  </si>
  <si>
    <t>163 CARINISH ROAD CLAYTON VIC, 3168</t>
  </si>
  <si>
    <t>Clifton Springs Golf Club</t>
  </si>
  <si>
    <t>92-94 CLEARWATER DRIVE CLIFTON SPRINGS, 3222</t>
  </si>
  <si>
    <t>Clocks At Flinders Street Station</t>
  </si>
  <si>
    <t>SHOP 17, FLINDERS STREET RAILWAY STATION MELBOURNE VIC, 3000</t>
  </si>
  <si>
    <t>Club Hawthorn</t>
  </si>
  <si>
    <t>627 GLENFERRIE ROAD HAWTHORN, 3122</t>
  </si>
  <si>
    <t>Club Hotel</t>
  </si>
  <si>
    <t>6 MT DANDENONG ROAD EAST RINGWOOD VIC, 3135</t>
  </si>
  <si>
    <t>Club Hotel (Ferntree Gully)</t>
  </si>
  <si>
    <t>848 BURWOOD HIGHWAY FERNTREE GULLY VIC, 3156</t>
  </si>
  <si>
    <t>Club Hotel (Warragul)</t>
  </si>
  <si>
    <t>51 QUEEN STREET WARRAGUL VIC, 3820</t>
  </si>
  <si>
    <t>Club Italia Sporting Club</t>
  </si>
  <si>
    <t>128-152 FURLONG ROAD NORTH SUNSHINE VIC, 3020</t>
  </si>
  <si>
    <t>Club Kilsyth</t>
  </si>
  <si>
    <t>CNR CANTERBURY AND COLCHESTER ROADS BAYSWATER NORTH, 3143</t>
  </si>
  <si>
    <t>Club Laverton</t>
  </si>
  <si>
    <t>15 AVIATION ROAD LAVERTON, 3028</t>
  </si>
  <si>
    <t>Club Leeds</t>
  </si>
  <si>
    <t>17 LEEDS STREET FOOTSCRAY, 3011</t>
  </si>
  <si>
    <t>Club Ringwood</t>
  </si>
  <si>
    <t>523-531 MAROONDAH HIGHWAY RINGWOOD, 3134</t>
  </si>
  <si>
    <t>Club Tivoli</t>
  </si>
  <si>
    <t>291 DANDENONG ROAD WINDSOR VIC, 3181</t>
  </si>
  <si>
    <t>Club Warrandyte</t>
  </si>
  <si>
    <t>110 YARRA STREET WARRANDYTE VIC, 3113</t>
  </si>
  <si>
    <t>Cobden Golf Club</t>
  </si>
  <si>
    <t>NEYLON STREET COBDEN VIC, 3266</t>
  </si>
  <si>
    <t>Cobram Hotel</t>
  </si>
  <si>
    <t>8-18 STATION STREET COBRAM, 3644</t>
  </si>
  <si>
    <t>Colac Bowling Club</t>
  </si>
  <si>
    <t>CNR MOORE AND ARMSTRONG STREETS COLAC VIC, 3250</t>
  </si>
  <si>
    <t>Colac Rsl</t>
  </si>
  <si>
    <t>21 MURRAY STREET COLAC VIC, 3250</t>
  </si>
  <si>
    <t>Commercial Hotel (Camperdown)</t>
  </si>
  <si>
    <t>115 MANIFOLD STREET CAMPERDOWN VIC, 3260</t>
  </si>
  <si>
    <t>Commercial Hotel (Swan Hill)</t>
  </si>
  <si>
    <t>91-105 CAMPBELL STREET SWAN HILL VIC, 3585</t>
  </si>
  <si>
    <t>Commercial Taverner</t>
  </si>
  <si>
    <t>111 WATTON STREET WERRIBEE VIC, 3030</t>
  </si>
  <si>
    <t>Coolaroo Taverner</t>
  </si>
  <si>
    <t>CNR BARRY ROAD &amp; MAFFRA STREET COOLAROO VIC, 3048</t>
  </si>
  <si>
    <t>Corryong Sporting Complex</t>
  </si>
  <si>
    <t>RECREATION RESERVE CORRYONG VIC, 3707</t>
  </si>
  <si>
    <t>Court House Hotel (Bacchus Marsh)</t>
  </si>
  <si>
    <t>116 MAIN STREET BACCHUS MARSH VIC, 3340</t>
  </si>
  <si>
    <t>Court House Hotel (Brunswick)</t>
  </si>
  <si>
    <t>615 SYDNEY ROAD BRUNSWICK VIC, 3056</t>
  </si>
  <si>
    <t>Court House Hotel (Footscray)</t>
  </si>
  <si>
    <t>166 NICHOLSON STREET FOOTSCRAY, 3011</t>
  </si>
  <si>
    <t>Court Jester Hotel</t>
  </si>
  <si>
    <t>270 CHAPEL STREET PRAHRAN VIC, 3181</t>
  </si>
  <si>
    <t>Craig'S Royal Hotel</t>
  </si>
  <si>
    <t>10 LYDIARD STREET SOUTH BALLARAT VIC, 3350</t>
  </si>
  <si>
    <t>Craigieburn Sporting Club</t>
  </si>
  <si>
    <t>WILLMOTT PARK, CRAIGIEBURN ROAD CRAIGIEBURN VIC, 3064</t>
  </si>
  <si>
    <t>Cramers Hotel</t>
  </si>
  <si>
    <t>1 CRAMER STREET PRESTON VIC, 3072</t>
  </si>
  <si>
    <t>Cranbourne Rsl</t>
  </si>
  <si>
    <t>1475 SOUTH GIPPSLAND HIGHWAY CRANBOURNE VIC, 3977</t>
  </si>
  <si>
    <t>Cross Keys Hotel</t>
  </si>
  <si>
    <t>350 PASCOE VALE ROAD ESSENDON VIC, 3040</t>
  </si>
  <si>
    <t>Crown Hotel</t>
  </si>
  <si>
    <t>273 MAIN STREET LILYDALE VIC, 3140</t>
  </si>
  <si>
    <t>Croxton Park Hotel</t>
  </si>
  <si>
    <t>607-619 HIGH STREET THORNBURY VIC, 3071</t>
  </si>
  <si>
    <t>Croydon Hotel</t>
  </si>
  <si>
    <t>47 MAROONDAH HIGHWAY CROYDON VIC, 3136</t>
  </si>
  <si>
    <t>Cumberland Hotel</t>
  </si>
  <si>
    <t>191 BARKER STREET CASTLEMAINE VIC, 3450</t>
  </si>
  <si>
    <t>Dandenong Club</t>
  </si>
  <si>
    <t>1579 HEATHERTON ROAD DANDENONG VIC, 3175</t>
  </si>
  <si>
    <t>Dandenong Rsl</t>
  </si>
  <si>
    <t>44 - 50 CLOW STREET DANDENONG VIC, 3175</t>
  </si>
  <si>
    <t>Dandenong Workers Social Club</t>
  </si>
  <si>
    <t>48 WEDGE STREET DANDENONG VIC, 3175</t>
  </si>
  <si>
    <t>Darebin Rsl</t>
  </si>
  <si>
    <t>402 BELL STREET PRESTON VIC, 3072</t>
  </si>
  <si>
    <t>Dava Hotel</t>
  </si>
  <si>
    <t>610 THE ESPLANADE MT MARTHA VIC, 3934</t>
  </si>
  <si>
    <t>Daylesford Bowling Club</t>
  </si>
  <si>
    <t>8 CAMP STREET DAYLESFORD VIC, 3460</t>
  </si>
  <si>
    <t>Deer Park Club</t>
  </si>
  <si>
    <t>780 BALLARAT ROAD DEER PARK VIC, 3023</t>
  </si>
  <si>
    <t>Deer Park Hotel</t>
  </si>
  <si>
    <t>760 BALLARAT ROAD DEER PARK VIC, 3023</t>
  </si>
  <si>
    <t>Derrimut Hotel</t>
  </si>
  <si>
    <t>132 DURHAM ROAD SUNSHINE VIC, 3020</t>
  </si>
  <si>
    <t>Diamond Creek Tavern</t>
  </si>
  <si>
    <t>29 MAIN ROAD DIAMOND CREEK VIC, 3089</t>
  </si>
  <si>
    <t>Dick Whittington Tavern</t>
  </si>
  <si>
    <t>32 CHAPEL STREET ST KILDA VIC, 3182</t>
  </si>
  <si>
    <t>Dingley International Hotel</t>
  </si>
  <si>
    <t>334 BOUNDARY ROAD DINGLEY VIC, 3172</t>
  </si>
  <si>
    <t>Doncaster Hotel</t>
  </si>
  <si>
    <t>855 DONCASTER ROAD DONCASTER VIC, 3108</t>
  </si>
  <si>
    <t>Dorset Gardens Hotel</t>
  </si>
  <si>
    <t>335 DORSET ROAD CROYDON, 3136</t>
  </si>
  <si>
    <t>Dromana Hotel</t>
  </si>
  <si>
    <t>151-165 NEPEAN HIGHWAY DROMANA VIC, 3936</t>
  </si>
  <si>
    <t>Drums Hotel</t>
  </si>
  <si>
    <t>613 SYDNEY ROAD COBURG VIC, 3058</t>
  </si>
  <si>
    <t>Duke Of Edinburgh</t>
  </si>
  <si>
    <t>430-436 SYDNEY ROAD BRUNSWICK VIC, 3056</t>
  </si>
  <si>
    <t>East Malvern Rsl</t>
  </si>
  <si>
    <t>STANLEY GROSE DRIVE MALVERN EAST, 3145</t>
  </si>
  <si>
    <t>Eastwood Golf Club</t>
  </si>
  <si>
    <t>LIVERPOOL ROAD KILSYTH VIC, 3137</t>
  </si>
  <si>
    <t>Echuca Hotel</t>
  </si>
  <si>
    <t>569-571 HIGH STREET ECHUCA VIC, 3564</t>
  </si>
  <si>
    <t>Echuca Workers And Services Club</t>
  </si>
  <si>
    <t>165 -171 ANNESLEY STREET ECHUCA VIC, 3564</t>
  </si>
  <si>
    <t>Edithvale - Chelsea Rsl</t>
  </si>
  <si>
    <t>4 THAMES PROMENADE CHELSEA VIC, 3196</t>
  </si>
  <si>
    <t>Edwardes Lake Hotel</t>
  </si>
  <si>
    <t>257 EDWARDES STREET RESERVOIR, 3073</t>
  </si>
  <si>
    <t>Elgin'S</t>
  </si>
  <si>
    <t>51-53 ELGIN STREET WODONGA VIC, 3690</t>
  </si>
  <si>
    <t>Elsternwick Hotel</t>
  </si>
  <si>
    <t>259 BRIGHTON ROAD ELWOOD VIC, 3184</t>
  </si>
  <si>
    <t>Eltham Hotel</t>
  </si>
  <si>
    <t>746 MAIN ROAD ELTHAM VIC, 3095</t>
  </si>
  <si>
    <t>Eltham Rsl</t>
  </si>
  <si>
    <t>804 MAIN ROAD ELTHAM VIC, 3095</t>
  </si>
  <si>
    <t>Elwood Rsl</t>
  </si>
  <si>
    <t>2 PINE AVENUE ELWOOD VIC, 3184</t>
  </si>
  <si>
    <t>Epping Hotel</t>
  </si>
  <si>
    <t>743 HIGH STREET EPPING VIC, 3076</t>
  </si>
  <si>
    <t>Epping Plaza Hotel</t>
  </si>
  <si>
    <t>EPPING PLAZA SHOPPING CENTRE, CNR HIGH &amp; COOPER STEPPING VIC, 3076</t>
  </si>
  <si>
    <t>Epping Rsl</t>
  </si>
  <si>
    <t>195 HARVEST HOME ROAD EPPING VIC, 3076</t>
  </si>
  <si>
    <t>Esplanade Hotel (Inverloch)</t>
  </si>
  <si>
    <t>1 A'BECKETT STREET INVERLOCH, 3996</t>
  </si>
  <si>
    <t>Esplanade Hotel (Queenscliff)</t>
  </si>
  <si>
    <t>2 GELLIBRAND STREET QUEENSCLIFF, 3225</t>
  </si>
  <si>
    <t>Borough of Queenscliffe</t>
  </si>
  <si>
    <t>Essendon Football &amp; Community Sporting Club</t>
  </si>
  <si>
    <t>CNR NAPIER STREET &amp; BREWSTER STREET ESSENDON VIC, 3040</t>
  </si>
  <si>
    <t>Excelsior Hotel</t>
  </si>
  <si>
    <t>82 MAHONEY'S ROAD THOMASTOWN VIC, 3074</t>
  </si>
  <si>
    <t>Fairfield &amp; Alphington Rsl</t>
  </si>
  <si>
    <t>7 RAILWAY PLACE FAIRFIELD VIC, 3078</t>
  </si>
  <si>
    <t>Family Hotel</t>
  </si>
  <si>
    <t>65 PRINCES WAY DROUIN, 3818</t>
  </si>
  <si>
    <t>Fawkner Rsl</t>
  </si>
  <si>
    <t>135 LORNE STREET FAWKNER VIC, 3060</t>
  </si>
  <si>
    <t>Ferntree Gully Bowling Club</t>
  </si>
  <si>
    <t>14 MERRICKS CLOSE FERNTREE GULLY VIC, 3156</t>
  </si>
  <si>
    <t>Ferntree Gully Hotel</t>
  </si>
  <si>
    <t>1130 BURWOOD HIGHWAY FERNTREE GULLY VIC, 3156</t>
  </si>
  <si>
    <t>First &amp; Last Hotel</t>
  </si>
  <si>
    <t>1141 SYDNEY ROAD FAWKNER VIC, 3060</t>
  </si>
  <si>
    <t>Flemington Racecourse Tabaret</t>
  </si>
  <si>
    <t>EPSOM ROAD FLEMINGTON VIC, 3031</t>
  </si>
  <si>
    <t>Flying Horse Bar And Brewery</t>
  </si>
  <si>
    <t>Foresters Arms Hotel</t>
  </si>
  <si>
    <t>1529 DANDENONG ROAD OAKLEIGH VIC, 3166</t>
  </si>
  <si>
    <t>Foster Golf Club</t>
  </si>
  <si>
    <t>7 RESERVE STREET FOSTER VIC, 3960</t>
  </si>
  <si>
    <t>Fountain Gate Taverner</t>
  </si>
  <si>
    <t>FOUNTAIN GATE SHOPPING CENTRE, OVERLAND DRIVE NARRE WARREN, 3805</t>
  </si>
  <si>
    <t>Frankston Football Club</t>
  </si>
  <si>
    <t>CNR PLOWMAN PLACE &amp; YOUNG STREET FRANKSTON VIC, 3199</t>
  </si>
  <si>
    <t>Frankston Rsl</t>
  </si>
  <si>
    <t>183 CRANBOURNE ROAD FRANKSTON VIC, 3199</t>
  </si>
  <si>
    <t>Freccia Azzurra Club</t>
  </si>
  <si>
    <t>784-796 SPRINGVALE ROAD KEYSBOROUGH VIC, 3173</t>
  </si>
  <si>
    <t>Furlan Club</t>
  </si>
  <si>
    <t>1 MATISI STREET THORNBURY VIC, 3071</t>
  </si>
  <si>
    <t>Fyansford Hotel</t>
  </si>
  <si>
    <t>67 HYLAND STREET FYANSFORD, 3221</t>
  </si>
  <si>
    <t>Gateway Hotel</t>
  </si>
  <si>
    <t>218 PRINCES HIGHWAY CORIO VIC, 3214</t>
  </si>
  <si>
    <t>Geelong Combined Leagues Club</t>
  </si>
  <si>
    <t>54 FELLMONGERS ROAD BREAKWATER VIC, 3219</t>
  </si>
  <si>
    <t>Geelong Football Club</t>
  </si>
  <si>
    <t>LATROBE TERRACE, KARDINIA PARK GEELONG VIC, 3220</t>
  </si>
  <si>
    <t>Geelong Rsl</t>
  </si>
  <si>
    <t>50 BARWON HEADS ROAD BELMONT VIC, 3216</t>
  </si>
  <si>
    <t>George Hotel</t>
  </si>
  <si>
    <t>27 LYDIARD STREET NORTH BALLARAT VIC, 3350</t>
  </si>
  <si>
    <t>Gladstone Park Hotel</t>
  </si>
  <si>
    <t>186-202 MICKLEHAM ROAD TULLAMARINE VIC, 3043</t>
  </si>
  <si>
    <t>Glengala Hotel</t>
  </si>
  <si>
    <t>214 GLENGALA ROAD SUNSHINE VIC, 3020</t>
  </si>
  <si>
    <t>Glenroy Rsl</t>
  </si>
  <si>
    <t>186 GLENROY ROAD GLENROY VIC, 3046</t>
  </si>
  <si>
    <t>Golden Fleece Hotel (Melton)</t>
  </si>
  <si>
    <t>257-263 HIGH STREET MELTON VIC, 3337</t>
  </si>
  <si>
    <t>Golden Fleece Hotel (South Melbourne)</t>
  </si>
  <si>
    <t>120 MONTAGUE STREET SOUTH MELBOURNE, 3205</t>
  </si>
  <si>
    <t>Golden Nugget</t>
  </si>
  <si>
    <t>117 LONSDALE STREET MELBOURNE VIC, 3000</t>
  </si>
  <si>
    <t>Golf House Hotel</t>
  </si>
  <si>
    <t>920 DOVETON STREET NORTH BALLARAT VIC, 3350</t>
  </si>
  <si>
    <t>Gordon Hotel</t>
  </si>
  <si>
    <t>63 BENTINCK STREET PORTLAND VIC, 3305</t>
  </si>
  <si>
    <t>Goulburn Valley Hotel</t>
  </si>
  <si>
    <t>223 HIGH STREET SHEPPARTON VIC, 3630</t>
  </si>
  <si>
    <t>Grand Central Hotel (Hamilton)</t>
  </si>
  <si>
    <t>141 GRAY STREET HAMILTON VIC, 3300</t>
  </si>
  <si>
    <t>Grand Hotel (Frankston)</t>
  </si>
  <si>
    <t>499 NEPEAN HIGHWAY FRANKSTON VIC, 3199</t>
  </si>
  <si>
    <t>Grand Hotel (Mornington)</t>
  </si>
  <si>
    <t>124 MAIN ROAD MORNINGTON, 3931</t>
  </si>
  <si>
    <t>Grand Junction Hotel</t>
  </si>
  <si>
    <t>8-22 FRANKLIN STREET TRARALGON VIC, 3844</t>
  </si>
  <si>
    <t>Grand Terminus Hotel</t>
  </si>
  <si>
    <t>98 MACLEOD STREET BAIRNSDALE VIC, 3875</t>
  </si>
  <si>
    <t>Great Western Hotel</t>
  </si>
  <si>
    <t>177 ABERDEEN STREET NEWTOWN VIC, 3220</t>
  </si>
  <si>
    <t>Green Gully Soccer Club</t>
  </si>
  <si>
    <t>GREEN GULLY RESERVE , LOT 2 GREEN GULLY ROAD KEILOR DOWNS VIC, 3038</t>
  </si>
  <si>
    <t>Greensborough Hotel</t>
  </si>
  <si>
    <t>75 MAIN STREET GREENSBOROUGH VIC, 3088</t>
  </si>
  <si>
    <t>Greensborough Rsl</t>
  </si>
  <si>
    <t>111 MAIN STREET GREENSBOROUGH VIC, 3088</t>
  </si>
  <si>
    <t>Greyhounds Entertainment</t>
  </si>
  <si>
    <t>LIGHTWOOD ROAD SPRINGVALE VIC, 3171</t>
  </si>
  <si>
    <t>Grosvenor Hotel</t>
  </si>
  <si>
    <t>10 BRIGHTON ROAD ST KILDA VIC, 3182</t>
  </si>
  <si>
    <t>Grovedale Hotel</t>
  </si>
  <si>
    <t>236-258 SURFCOAST HIGHWAY GROVEDALE, 3216</t>
  </si>
  <si>
    <t>Hallam Taverner</t>
  </si>
  <si>
    <t>241 PRINCES HWY HALLAM VIC, 3803</t>
  </si>
  <si>
    <t>Hampton Bowls Club</t>
  </si>
  <si>
    <t>CNR FEWSTER ROAD &amp; EARLSFIELD ROAD HAMPTON VIC, 3188</t>
  </si>
  <si>
    <t>Hampton Park Tavern</t>
  </si>
  <si>
    <t>71 HALLAM ROAD HAMPTON PARK VIC, 3976</t>
  </si>
  <si>
    <t>Hampton Rsl</t>
  </si>
  <si>
    <t>25 HOLYROOD STREET HAMPTON VIC, 3188</t>
  </si>
  <si>
    <t>Harp Of Erin Hotel</t>
  </si>
  <si>
    <t>636 HIGH STREET KEW EAST, 3102</t>
  </si>
  <si>
    <t>Hastings Cricket &amp; Football Social Club</t>
  </si>
  <si>
    <t>155 MARINE PARADE HASTINGS VIC, 3915</t>
  </si>
  <si>
    <t>Healesville Rsl</t>
  </si>
  <si>
    <t>275-279 MAROONDAH HIGHWAY HEALESVILLE VIC, 3777</t>
  </si>
  <si>
    <t>Heidelberg Rsl</t>
  </si>
  <si>
    <t>87 MOUNT STREET HEIDELBERG VIC, 3084</t>
  </si>
  <si>
    <t>Highett Returned &amp; Services Club</t>
  </si>
  <si>
    <t>1 STATION STREET HIGHETT VIC, 3190</t>
  </si>
  <si>
    <t>Highlands Hotel</t>
  </si>
  <si>
    <t>301 GRAND BOULEVARD CRAIGIEBURN, 3064</t>
  </si>
  <si>
    <t>Highpoint Taverner</t>
  </si>
  <si>
    <t>HIGHPOINT SHOPPING CENTRE, 200 ROSAMOND ROAD MARIBYRNONG VIC, 3032</t>
  </si>
  <si>
    <t>Highways Sandown</t>
  </si>
  <si>
    <t>591-659 PRINCES HWY SPRINGVALE VIC, 3171</t>
  </si>
  <si>
    <t>Hill Top Golf And Country Club</t>
  </si>
  <si>
    <t>GOWRIE STREET TATURA VIC, 3616</t>
  </si>
  <si>
    <t>Hogans Hotel</t>
  </si>
  <si>
    <t>92 HIGH STREET WALLAN, 3756</t>
  </si>
  <si>
    <t>Hoppers Crossing Club</t>
  </si>
  <si>
    <t>180 - 200 PANNAM DRIVE HOPPERS CROSSING, 3029</t>
  </si>
  <si>
    <t>Hoppers Crossing Sports Club</t>
  </si>
  <si>
    <t>HOGANS RESERVE, HOGANS ROAD HOPPERS CROSSING, 3029</t>
  </si>
  <si>
    <t>Horsham Rsl</t>
  </si>
  <si>
    <t>36 MCLACHLAN STREET HORSHAM VIC, 3400</t>
  </si>
  <si>
    <t>Horsham Sports &amp; Community Club</t>
  </si>
  <si>
    <t>177-179 BAILLIE ST HORSHAM VIC, 3400</t>
  </si>
  <si>
    <t>Hotel 520 On Sayers</t>
  </si>
  <si>
    <t>520 SAYERS ROAD TARNEIT, 3029</t>
  </si>
  <si>
    <t>Isle Of Wight Hotel</t>
  </si>
  <si>
    <t>THE ESPLANADE COWES, 3922</t>
  </si>
  <si>
    <t>Italian Australian Sporting And Social Club Of Gippsland</t>
  </si>
  <si>
    <t>499-501 PRINCES HIGHWAY MORWELL VIC, 3840</t>
  </si>
  <si>
    <t>Italian Sports Club Of Werribee</t>
  </si>
  <si>
    <t>601 HEATHS ROAD WERRIBEE VIC, 3030</t>
  </si>
  <si>
    <t>Ivanhoe Hotel</t>
  </si>
  <si>
    <t>120 UPPER HEIDELBERG ROAD IVANHOE VIC, 3079</t>
  </si>
  <si>
    <t>Jokers On Ryrie</t>
  </si>
  <si>
    <t>211 RYRIE STREET GEELONG VIC, 3220</t>
  </si>
  <si>
    <t>Junction Hotel</t>
  </si>
  <si>
    <t>1 PLENTY ROAD PRESTON VIC, 3072</t>
  </si>
  <si>
    <t>Kangaroo Flat Sports Club</t>
  </si>
  <si>
    <t>DOWER PARK, MACKENZIE STREET WEST KANGAROO FLAT VIC, 3555</t>
  </si>
  <si>
    <t>Karingal Bowling Club</t>
  </si>
  <si>
    <t>248 SKYE ROAD FRANKSTON VIC, 3199</t>
  </si>
  <si>
    <t>Kealba Hotel</t>
  </si>
  <si>
    <t>CNR SUNSHINE AVENUE &amp; MAIN ROAD EAST KEALBA, 3021</t>
  </si>
  <si>
    <t>Keilor East Rsl</t>
  </si>
  <si>
    <t>12-22 HOFFMANS ROAD ESSENDON VIC, 3040</t>
  </si>
  <si>
    <t>Keilor Hotel</t>
  </si>
  <si>
    <t>670 OLD CALDER HIGHWAY KEILOR VIC, 3036</t>
  </si>
  <si>
    <t>Kerang Sports And Entertainment Venue</t>
  </si>
  <si>
    <t>25 VICTORIA STREET KERANG, 3579</t>
  </si>
  <si>
    <t>Keysborough Hotel</t>
  </si>
  <si>
    <t>CNR CORRIGAN &amp; CHELTENHAM RDS KEYSBOROUGH, 3173</t>
  </si>
  <si>
    <t>Kilmore Trackside</t>
  </si>
  <si>
    <t>EAST STREET KILMORE, 3764</t>
  </si>
  <si>
    <t>Kings Creek Hotel</t>
  </si>
  <si>
    <t>1989 FRANKSTON-FLINDERS ROAD HASTINGS VIC, 3915</t>
  </si>
  <si>
    <t>Kirkpatricks Hotel</t>
  </si>
  <si>
    <t>774 THE ESPLANADE MORNINGTON, 3931</t>
  </si>
  <si>
    <t>Knox Club</t>
  </si>
  <si>
    <t>CNR STUD &amp; BORONIA ROADS WANTIRNA VIC, 3152</t>
  </si>
  <si>
    <t>Knox Tavern</t>
  </si>
  <si>
    <t>1 CAPITAL CITY BOULEVARD, KNOX DISTRICT CENTRE WANTIRNA SOUTH VIC, 3152</t>
  </si>
  <si>
    <t>Kooringal Golf Club</t>
  </si>
  <si>
    <t>WILGA AVENUE ALTONA VIC, 3018</t>
  </si>
  <si>
    <t>Korumburra Hotel</t>
  </si>
  <si>
    <t>81 COMMERCIAL STREET KORUMBURRA, 3950</t>
  </si>
  <si>
    <t>Kyabram Club</t>
  </si>
  <si>
    <t>82 ALLAN STREET KYABRAM VIC, 3620</t>
  </si>
  <si>
    <t>Kyneton Bowling Club</t>
  </si>
  <si>
    <t>61-81 MOLLISON STREET KYNETON VIC, 3444</t>
  </si>
  <si>
    <t>Kyneton Rsl</t>
  </si>
  <si>
    <t>37-39 MOLLISON STREET KYNETON VIC, 3444</t>
  </si>
  <si>
    <t>L'Unico Hotel</t>
  </si>
  <si>
    <t>319 CLAYTON ROAD CLAYTON VIC, 3168</t>
  </si>
  <si>
    <t>Lakes Entrance Bowls Club</t>
  </si>
  <si>
    <t>CNR BULMER &amp; ROWE STREETS LAKES ENTRANCE VIC, 3909</t>
  </si>
  <si>
    <t>Lakes Entrance Rsl</t>
  </si>
  <si>
    <t>221 THE ESPLANADE LAKES ENTRANCE, 3909</t>
  </si>
  <si>
    <t>Lakeside Club</t>
  </si>
  <si>
    <t>2 FOSTER STREET Sale, 3850</t>
  </si>
  <si>
    <t>Lalor Bowling Club</t>
  </si>
  <si>
    <t>CNR SYDNEY CRESCENT &amp; GORDON STREET LALOR VIC, 3075</t>
  </si>
  <si>
    <t>Langwarrin Hotel</t>
  </si>
  <si>
    <t>CNR UNION &amp; CRANBOURNE ROADS LANGWARRIN VIC, 3910</t>
  </si>
  <si>
    <t>Lara Hotel</t>
  </si>
  <si>
    <t>8 -12 HICKS STREET LARA VIC, 3212</t>
  </si>
  <si>
    <t>Lara Sporting Club</t>
  </si>
  <si>
    <t>MILL ROAD LARA VIC, 3212</t>
  </si>
  <si>
    <t>Leighoak</t>
  </si>
  <si>
    <t>CNR PRINCES HIGHWAY &amp; ATKINSON STREET OAKLEIGH VIC, 3166</t>
  </si>
  <si>
    <t>Leongatha Rsl</t>
  </si>
  <si>
    <t>CORNER SMITH STREET AND MICHAEL PLACE LEONGATHA, 3953</t>
  </si>
  <si>
    <t>Leopold Sportsmans Club</t>
  </si>
  <si>
    <t>135 KENSINGTON ROAD LEOPOLD VIC, 3224</t>
  </si>
  <si>
    <t>Lincolnshire Arms Hotel</t>
  </si>
  <si>
    <t>1 KEILOR ROAD ESSENDON VIC, 3040</t>
  </si>
  <si>
    <t>Loch Sport Rsl</t>
  </si>
  <si>
    <t>CHARLES STREET RESERVE LOCH SPORT VIC, 3851</t>
  </si>
  <si>
    <t>London Tavern</t>
  </si>
  <si>
    <t>414 HAWTHORN ROAD CAULFIELD VIC, 3162</t>
  </si>
  <si>
    <t>Long Beach Hotel</t>
  </si>
  <si>
    <t>380 NEPEAN HIGHWAY CHELSEA VIC, 3196</t>
  </si>
  <si>
    <t>Lord Of The Isles Tavern</t>
  </si>
  <si>
    <t>3 WEST FYANS STREET NEWTOWN, 3220</t>
  </si>
  <si>
    <t>Lorne Hotel</t>
  </si>
  <si>
    <t>176 MOUNTJOY PARADE LORNE VIC, 3232</t>
  </si>
  <si>
    <t>Lower Plenty Hotel</t>
  </si>
  <si>
    <t>2-8 MAIN ROAD LOWER PLENTY VIC, 3093</t>
  </si>
  <si>
    <t>Lynbrook Hotel</t>
  </si>
  <si>
    <t>550 SOUTH GIPPSLAND HIGHWAY LYNBROOK, 3975</t>
  </si>
  <si>
    <t>Lyndhurst Club Hotel</t>
  </si>
  <si>
    <t>513 LYGON STREET EAST BRUNSWICK VIC, 3057</t>
  </si>
  <si>
    <t>Mac'S Hotel (Melton)</t>
  </si>
  <si>
    <t>322-332 HIGH STREET MELTON VIC, 3337</t>
  </si>
  <si>
    <t>Mac'S Hotel (Warrnambool)</t>
  </si>
  <si>
    <t>199 FAIRY STREET WARRNAMBOOL VIC, 3280</t>
  </si>
  <si>
    <t>Maffra Community Sports Club</t>
  </si>
  <si>
    <t>122 JOHNSON STREET MAFFRA VIC, 3860</t>
  </si>
  <si>
    <t>Magpie And Stump Hotel</t>
  </si>
  <si>
    <t>EPPING KILMORE ROAD WANDONG VIC, 3758</t>
  </si>
  <si>
    <t>Mail Exchange Hotel</t>
  </si>
  <si>
    <t>688 BOURKE STREET MELBOURNE, 3000</t>
  </si>
  <si>
    <t>Malvern Vale Club Hotel</t>
  </si>
  <si>
    <t>1321 MALVERN ROAD MALVERN VIC, 3144</t>
  </si>
  <si>
    <t>Manhattan Hotel</t>
  </si>
  <si>
    <t>CNR CANTERBURY &amp; HEATHERDALE ROADS RINGWOOD VIC, 3134</t>
  </si>
  <si>
    <t>Manningham Club</t>
  </si>
  <si>
    <t>1 THOMPSONS ROAD BULLEEN VIC, 3105</t>
  </si>
  <si>
    <t>Mansfield Golf Club</t>
  </si>
  <si>
    <t>KIDSTON PARADE MANSFIELD VIC, 3722</t>
  </si>
  <si>
    <t>Marine Hotel</t>
  </si>
  <si>
    <t>215 NEW STREET BRIGHTON VIC, 3186</t>
  </si>
  <si>
    <t>Maroondah Sports Club</t>
  </si>
  <si>
    <t>CNR MT DANDENONG ROAD AND DUBLIN ROAD RINGWOOD EAST VIC, 3135</t>
  </si>
  <si>
    <t>Maryborough Golf Club</t>
  </si>
  <si>
    <t>125 PARK ROAD MARYBOROUGH VIC, 3465</t>
  </si>
  <si>
    <t>Maryborough Highland Society</t>
  </si>
  <si>
    <t>35 HIGH STREET MARYBOROUGH VIC, 3465</t>
  </si>
  <si>
    <t>Matthew Flinders Taverner</t>
  </si>
  <si>
    <t>655 - 667 WARRIGAL ROAD CHADSTONE VIC, 3148</t>
  </si>
  <si>
    <t>Mccartins Hotel</t>
  </si>
  <si>
    <t>2 BAIR STREET LEONGATHA VIC, 3953</t>
  </si>
  <si>
    <t>Mckinnon Hotel</t>
  </si>
  <si>
    <t>251 MCKINNON ROAD MCKINNON VIC, 3204</t>
  </si>
  <si>
    <t>Meadow Inn Hotel</t>
  </si>
  <si>
    <t>1435 SYDNEY ROAD FAWKNER, 3060</t>
  </si>
  <si>
    <t>Melton Country Club</t>
  </si>
  <si>
    <t>MELTON RECREATION RESERVE, RESERVE ROAD MELTON VIC, 3337</t>
  </si>
  <si>
    <t>Mentone Rsl</t>
  </si>
  <si>
    <t>9 PALERMO STREET MENTONE VIC, 3194</t>
  </si>
  <si>
    <t>Merbein Citizens Club</t>
  </si>
  <si>
    <t>108 COMMERCIAL STREET MERBEIN VIC, 3505</t>
  </si>
  <si>
    <t>Mercure Grand Hotel On Swanston</t>
  </si>
  <si>
    <t>195 SWANSTON STREET MELBOURNE VIC, 3000</t>
  </si>
  <si>
    <t>Midlands Golf Club</t>
  </si>
  <si>
    <t>330 HEINZ LANE BALLARAT, 3350</t>
  </si>
  <si>
    <t>Milano'S Hotel</t>
  </si>
  <si>
    <t>4 THE ESPLANADE BRIGHTON VIC, 3186</t>
  </si>
  <si>
    <t>Mildura Gateway Tavern</t>
  </si>
  <si>
    <t>CNR 15TH STREET &amp; SANMATEO AVENUE MILDURA VIC, 3500</t>
  </si>
  <si>
    <t>Mildura Golf Club</t>
  </si>
  <si>
    <t>TWELFTH STREET MILDURA, 3500</t>
  </si>
  <si>
    <t>Mildura Grand Hotel</t>
  </si>
  <si>
    <t>13 DEAKIN AVENUE MILDURA VIC, 3500</t>
  </si>
  <si>
    <t>Mildura Rsl</t>
  </si>
  <si>
    <t>130 MADDEN AVENUE MILDURA VIC, 3500</t>
  </si>
  <si>
    <t>Mildura Working Mans Sports &amp; Social Club</t>
  </si>
  <si>
    <t>90-124 DEAKIN AVENUE MILDURA VIC, 3500</t>
  </si>
  <si>
    <t>Millers Inn Hotel</t>
  </si>
  <si>
    <t>204 MILLERS ROAD ALTONA NORTH VIC, 3025</t>
  </si>
  <si>
    <t>Mitcham Hotel</t>
  </si>
  <si>
    <t>556 MAROONDAH HIGHWAY MITCHAM VIC, 3132</t>
  </si>
  <si>
    <t>Mitcham Rsl</t>
  </si>
  <si>
    <t>26 MCDOWALL STREET MITCHAM VIC, 3132</t>
  </si>
  <si>
    <t>Mitchell River Tavern</t>
  </si>
  <si>
    <t>59-61 MAIN STREET BAIRNSDALE VIC, 3875</t>
  </si>
  <si>
    <t>Moe Hotel</t>
  </si>
  <si>
    <t>45 LLOYD STREET MOE VIC, 3825</t>
  </si>
  <si>
    <t>Moe Racing Club</t>
  </si>
  <si>
    <t>WATERLOO ROAD MOE VIC, 3825</t>
  </si>
  <si>
    <t>Moe Rsl Club</t>
  </si>
  <si>
    <t>63 ALBERT STREET MOE VIC, 3825</t>
  </si>
  <si>
    <t>Monash Hotel</t>
  </si>
  <si>
    <t>2071 - 2091 DANDENONG ROAD CLAYTON, 3168</t>
  </si>
  <si>
    <t>Monbulk Bowling Club</t>
  </si>
  <si>
    <t>11 MOORES ROAD MONBULK VIC, 3793</t>
  </si>
  <si>
    <t>Montmorency Rsl</t>
  </si>
  <si>
    <t>PETRIE PARK, 16 MOUNTAIN VIEW ROAD MONTMORENCY VIC, 3094</t>
  </si>
  <si>
    <t>Moonee Valley Racing Club</t>
  </si>
  <si>
    <t>CORNER WILSON &amp; THOMAS STREET MOONEE PONDS VIC, 3039</t>
  </si>
  <si>
    <t>Mooroopna Golf Club</t>
  </si>
  <si>
    <t>2 FAIRWAY DRIVE MOOROOPNA VIC, 3629</t>
  </si>
  <si>
    <t>Mordialloc Sporting Club</t>
  </si>
  <si>
    <t>528 MAIN STREET MORDIALLOC VIC, 3195</t>
  </si>
  <si>
    <t>Moreland Hotel</t>
  </si>
  <si>
    <t>882-888 SYDNEY ROAD BRUNSWICK, 3056</t>
  </si>
  <si>
    <t>Mornington On Tanti Hotel</t>
  </si>
  <si>
    <t>917 NEPEAN HIGHWAY MORNINGTON VIC, 3931</t>
  </si>
  <si>
    <t>Morwell Bowling Club</t>
  </si>
  <si>
    <t>52 HAZELWOOD ROAD MORWELL VIC, 3840</t>
  </si>
  <si>
    <t>Morwell Club</t>
  </si>
  <si>
    <t>136 HELEN STREET MORWELL VIC, 3840</t>
  </si>
  <si>
    <t>Morwell Hotel</t>
  </si>
  <si>
    <t>CORNER VINCENT STREET &amp; PRINCES HIGHWAY MORWELL, 3840</t>
  </si>
  <si>
    <t>Morwell Rsl</t>
  </si>
  <si>
    <t>52 ELGIN STREET MORWELL VIC, 3840</t>
  </si>
  <si>
    <t>Motor Club Hotel</t>
  </si>
  <si>
    <t>38-56 HIGH STREET CRANBOURNE VIC, 3977</t>
  </si>
  <si>
    <t>Mount Beauty Country Club</t>
  </si>
  <si>
    <t>1 LAKESIDE AVENUE MT BEAUTY VIC, 3699</t>
  </si>
  <si>
    <t>Mountain View Hotel</t>
  </si>
  <si>
    <t>186 SPRINGVALE ROAD GLEN WAVERLEY VIC, 3150</t>
  </si>
  <si>
    <t>Mulgrave Country Club</t>
  </si>
  <si>
    <t>CNR JELLS AND WELLINGTON RD WHEELERS HILL VIC, 3150</t>
  </si>
  <si>
    <t>Myrtleford Savoy Sporting Club</t>
  </si>
  <si>
    <t>252-254 MYRTLE STREET MYRTLEFORD VIC, 3737</t>
  </si>
  <si>
    <t>Nagambie Lakes Entertainment Centre</t>
  </si>
  <si>
    <t>HIGH STREET NAGAMBIE, 3608</t>
  </si>
  <si>
    <t>Newmarket Tavern</t>
  </si>
  <si>
    <t>386 RACECOURSE ROAD NEWMARKET VIC, 3031</t>
  </si>
  <si>
    <t>Noble Park Football Social Club</t>
  </si>
  <si>
    <t>46 MOODEMERE STREET NOBLE PARK VIC, 3174</t>
  </si>
  <si>
    <t>Noble Park Rsl</t>
  </si>
  <si>
    <t>1128 HEATHERTON ROAD NOBLE PARK VIC, 3174</t>
  </si>
  <si>
    <t>Norlane Hotel</t>
  </si>
  <si>
    <t>2-6 PRINCES HIGHWAY NORLANE VIC, 3214</t>
  </si>
  <si>
    <t>North Ballarat Sports Club</t>
  </si>
  <si>
    <t>BALLARAT SHOWGROUNDS RESERVE, CRESWICK ROAD BALLARAT VIC, 3350</t>
  </si>
  <si>
    <t>Northcote Park Football Club</t>
  </si>
  <si>
    <t>71 SYDNEY ROAD BRUNSWICK VIC, 3056</t>
  </si>
  <si>
    <t>Northcote Rsl</t>
  </si>
  <si>
    <t>496 HIGH STREET NORTHCOTE VIC, 3070</t>
  </si>
  <si>
    <t>Numurkah Golf &amp; Bowls Club</t>
  </si>
  <si>
    <t>TUNNOCK ROAD NUMURKAH VIC, 3636</t>
  </si>
  <si>
    <t>Oakleigh Junction Hotel</t>
  </si>
  <si>
    <t>1 PORTMAN STREET OAKLEIGH VIC, 3166</t>
  </si>
  <si>
    <t>Oasis Oz Hotel</t>
  </si>
  <si>
    <t>177-197 DRYBURGH STREET NORTH MELBOURNE, 3051</t>
  </si>
  <si>
    <t>Ocean Grove Bowling Club</t>
  </si>
  <si>
    <t>18 THE TERRACE OCEAN GROVE VIC, 3226</t>
  </si>
  <si>
    <t>Old England Hotel</t>
  </si>
  <si>
    <t>459 LOWER HEIDELBERG ROAD HEIDELBERG, 3084</t>
  </si>
  <si>
    <t>Olinda Creek Hotel</t>
  </si>
  <si>
    <t>161 MAIN STREET LILYDALE VIC, 3140</t>
  </si>
  <si>
    <t>Olive Tree Hotel</t>
  </si>
  <si>
    <t>111 EVANS STREET SUNBURY VIC, 3429</t>
  </si>
  <si>
    <t>Olympic Hotel</t>
  </si>
  <si>
    <t>31 ALBERT STREET PRESTON VIC, 3072</t>
  </si>
  <si>
    <t>Ouyen Club</t>
  </si>
  <si>
    <t>9 PICKERING STREET OUYEN, 3490</t>
  </si>
  <si>
    <t>Pakenham Hotel</t>
  </si>
  <si>
    <t>226 PRINCES HIGHWAY PAKENHAM VIC, 3810</t>
  </si>
  <si>
    <t>Pakenham Inn</t>
  </si>
  <si>
    <t>108 PRINCES HIGHWAY PAKENHAM, 3810</t>
  </si>
  <si>
    <t>Pakenham Sports Club</t>
  </si>
  <si>
    <t>HENRY STREET PAKENHAM VIC, 3810</t>
  </si>
  <si>
    <t>Palace Hotel</t>
  </si>
  <si>
    <t>893 BURKE ROAD CAMBERWELL, 3124</t>
  </si>
  <si>
    <t>Parkview Hotel</t>
  </si>
  <si>
    <t>131 SCOTCHMER STREET FITZROY NORTH, 3068</t>
  </si>
  <si>
    <t>Pascoe Vale Rsl</t>
  </si>
  <si>
    <t>40 CUMBERLAND ROAD PASCOE VALE VIC, 3044</t>
  </si>
  <si>
    <t>Pascoe Vale Taverner Hotel</t>
  </si>
  <si>
    <t>12 RAILWAY PARADE PASCOE VALE VIC, 3044</t>
  </si>
  <si>
    <t>Peninsula Club</t>
  </si>
  <si>
    <t>1-3 NOEL STREET DROMANA VIC, 3936</t>
  </si>
  <si>
    <t>Peninsula Hotel Motel</t>
  </si>
  <si>
    <t>QUEENSCLIFF ROAD NEWCOMB VIC, 3219</t>
  </si>
  <si>
    <t>Peppermill Inn Hotel Motel</t>
  </si>
  <si>
    <t>7900 GOULBURN VALLEY HIGHWAY KIALLA, 3631</t>
  </si>
  <si>
    <t>Phillip Island Golf Club</t>
  </si>
  <si>
    <t>SETTLEMENT ROAD COWES VIC, 3922</t>
  </si>
  <si>
    <t>Phillip Island Rsl</t>
  </si>
  <si>
    <t>225-243 THOMPSON AVENUE COWES VIC, 3922</t>
  </si>
  <si>
    <t>Phoenix Hotel</t>
  </si>
  <si>
    <t>59 MOORABOOL STREET GEELONG VIC, 3220</t>
  </si>
  <si>
    <t>Pier Hotel</t>
  </si>
  <si>
    <t>508 NEPEAN HIGHWAY FRANKSTON, 3199</t>
  </si>
  <si>
    <t>Pinsent Hotel</t>
  </si>
  <si>
    <t>20 REID STREET WANGARATTA VIC, 3677</t>
  </si>
  <si>
    <t>Players Hotel</t>
  </si>
  <si>
    <t>1-5 SCOTT STREET DANDENONG VIC, 3175</t>
  </si>
  <si>
    <t>Players On Lygon</t>
  </si>
  <si>
    <t>186-200 LYGON STREET CARLTON VIC, 3053</t>
  </si>
  <si>
    <t>Plough Hotel</t>
  </si>
  <si>
    <t>CHILDS ROAD MILL PARK VIC, 3082</t>
  </si>
  <si>
    <t>Polish Community Assoc In Geelong</t>
  </si>
  <si>
    <t>46-48 FELLMONGERS ROAD BREAKWATER VIC, 3219</t>
  </si>
  <si>
    <t>Portarlington Golf Club</t>
  </si>
  <si>
    <t>130 HOOD ROAD PORTARLINGTON VIC, 3223</t>
  </si>
  <si>
    <t>Portland Football Netball Cricket Club</t>
  </si>
  <si>
    <t>HANLON PARK, HENTY STREET PORTLAND VIC, 3305</t>
  </si>
  <si>
    <t>Portland Rsl Memorial Bowling Club</t>
  </si>
  <si>
    <t>33 CAPE NELSON ROAD PORTLAND VIC, 3305</t>
  </si>
  <si>
    <t>Powell Hotel</t>
  </si>
  <si>
    <t>202 BALLARAT ROAD FOOTSCRAY VIC, 3011</t>
  </si>
  <si>
    <t>Prahran Football Social Club</t>
  </si>
  <si>
    <t>1ST FLOOR, 328-338 CHAPEL STREET PRAHRAN VIC, 3181</t>
  </si>
  <si>
    <t>Preston Hotel</t>
  </si>
  <si>
    <t>635 HIGH STREET PRESTON VIC, 3072</t>
  </si>
  <si>
    <t>Prince Mark Hotel</t>
  </si>
  <si>
    <t>CORNER POWER ROAD &amp; PRINCES HIGHWAY DOVETON VIC, 3177</t>
  </si>
  <si>
    <t>Punters Palace</t>
  </si>
  <si>
    <t>314 SMITH STREET COLLINGWOOD VIC, 3066</t>
  </si>
  <si>
    <t>Queenscliff Bowling Tennis And Croquet Club</t>
  </si>
  <si>
    <t>118 HESSE STREET QUEENSCLIFF VIC, 3225</t>
  </si>
  <si>
    <t>Racecourse Hotel (Malvern East)</t>
  </si>
  <si>
    <t>895 DANDENONG ROAD MALVERN EAST, 3145</t>
  </si>
  <si>
    <t>Racecourse Hotel (Werribee)</t>
  </si>
  <si>
    <t>78 COTTRELL STREET WERRIBEE VIC, 3030</t>
  </si>
  <si>
    <t>Rafferty'S Tavern</t>
  </si>
  <si>
    <t>CORNER WALSH ROAD AND PRINCES HIGHWAY WARRNAMBOOL, 3280</t>
  </si>
  <si>
    <t>Railway Club Hotel</t>
  </si>
  <si>
    <t>28 STATION STREET SEYMOUR VIC, 3660</t>
  </si>
  <si>
    <t>Red Cliffs Club</t>
  </si>
  <si>
    <t>11 HEYTESBURY AVENUE RED CLIFFS VIC, 3496</t>
  </si>
  <si>
    <t>Red Lion Hotel</t>
  </si>
  <si>
    <t>217-221 MAIN ROAD BALLARAT VIC, 3350</t>
  </si>
  <si>
    <t>Reggio Calabria Club</t>
  </si>
  <si>
    <t>476 BRUNSWICK ROAD WEST BRUNSWICK, 3055</t>
  </si>
  <si>
    <t>Reservoir Bowling Club</t>
  </si>
  <si>
    <t>75 LEAMINGTON STREET RESERVOIR VIC, 3073</t>
  </si>
  <si>
    <t>Reservoir Rsl</t>
  </si>
  <si>
    <t>251 SPRING STREET RESERVOIR, 3073</t>
  </si>
  <si>
    <t>Richmond Tavern</t>
  </si>
  <si>
    <t>14 ELIZABETH STREET RICHMOND, 3121</t>
  </si>
  <si>
    <t>Rifle Club Hotel</t>
  </si>
  <si>
    <t>121 VICTORIA STREET WILLIAMSTOWN VIC, 3016</t>
  </si>
  <si>
    <t>Ringwood Rsl</t>
  </si>
  <si>
    <t>16 STATION STREET RINGWOOD VIC, 3134</t>
  </si>
  <si>
    <t>Rising Sun Hotel</t>
  </si>
  <si>
    <t>84 BARNARD STREET BENDIGO VIC, 3550</t>
  </si>
  <si>
    <t>Riversdale Hotel</t>
  </si>
  <si>
    <t>277 AUBURN ROAD HAWTHORN VIC, 3122</t>
  </si>
  <si>
    <t>Riviera Hotel</t>
  </si>
  <si>
    <t>30 NEPEAN HIGHWAY SEAFORD VIC, 3198</t>
  </si>
  <si>
    <t>Robin Hood Hotel</t>
  </si>
  <si>
    <t>33 PEEL STREET NORTH BALLARAT, 3350</t>
  </si>
  <si>
    <t>Robinvale Golf Club</t>
  </si>
  <si>
    <t>4240 MURRAY VALLEY HIGHWAY ROBINVALE VIC, 3549</t>
  </si>
  <si>
    <t>Rose Shamrock Hotel</t>
  </si>
  <si>
    <t>709 PLENTY ROAD EAST RESERVOIR VIC, 3073</t>
  </si>
  <si>
    <t>Rosebud Country Club</t>
  </si>
  <si>
    <t>BONEO ROAD ROSEBUD VIC, 3939</t>
  </si>
  <si>
    <t>Rosebud Hotel</t>
  </si>
  <si>
    <t>1099 NEPEAN HIGHWAY ROSEBUD VIC, 3939</t>
  </si>
  <si>
    <t>Rosebud Rsl</t>
  </si>
  <si>
    <t>117 EASTBOURNE ROAD ROSEBUD VIC, 3939</t>
  </si>
  <si>
    <t>Rosstown Hotel</t>
  </si>
  <si>
    <t>1084 DANDENONG ROAD CARNEGIE VIC, 3163</t>
  </si>
  <si>
    <t>Roxburgh Park Hotel</t>
  </si>
  <si>
    <t>CNR SOMERTON &amp; PASCOE VALE RDS ROXBURGH PARK, 3064</t>
  </si>
  <si>
    <t>Royal Exchange Hotel</t>
  </si>
  <si>
    <t>64 PRINCES HIGHWAY TRARALGON VIC, 3844</t>
  </si>
  <si>
    <t>Royal Hotel (Benalla)</t>
  </si>
  <si>
    <t>2 BRIDGE STREET BENALLA VIC, 3672</t>
  </si>
  <si>
    <t>Royal Hotel (Daylesford)</t>
  </si>
  <si>
    <t>27 VINCENT STREET DAYLESFORD VIC, 3460</t>
  </si>
  <si>
    <t>Royal Hotel (Essendon)</t>
  </si>
  <si>
    <t>873 MT ALEXANDER ROAD ESSENDON VIC, 3040</t>
  </si>
  <si>
    <t>Royal Hotel (Horsham)</t>
  </si>
  <si>
    <t>132 FIREBRACE STREET HORSHAM VIC, 3400</t>
  </si>
  <si>
    <t>Royal Hotel (Sunbury)</t>
  </si>
  <si>
    <t>63 EVANS STREET SUNBURY VIC, 3429</t>
  </si>
  <si>
    <t>Royal Oak Hotel</t>
  </si>
  <si>
    <t>1375 NEPEAN HIGHWAY CHELTENHAM VIC, 3192</t>
  </si>
  <si>
    <t>Royal Oak Richmond</t>
  </si>
  <si>
    <t>527 BRIDGE ROAD RICHMOND VIC, 3121</t>
  </si>
  <si>
    <t>Rubicon Hotel</t>
  </si>
  <si>
    <t>1362 TAGGERTY ROAD THORNTON VIC, 3712</t>
  </si>
  <si>
    <t>Rye Hotel</t>
  </si>
  <si>
    <t>2415 POINT NEPEAN ROAD RYE VIC, 3941</t>
  </si>
  <si>
    <t>Rye Rsl Club</t>
  </si>
  <si>
    <t>5-11 NELSON STREET RYE VIC, 3941</t>
  </si>
  <si>
    <t>Sale Community Bowls Club</t>
  </si>
  <si>
    <t>CNR PALMERSTON AND CUNNINGHAME STREETS SALE VIC, 3850</t>
  </si>
  <si>
    <t>Sale &amp; District Greyhound Racing Club</t>
  </si>
  <si>
    <t>SALE-MAFFRA ROAD SALE VIC, 3850</t>
  </si>
  <si>
    <t>Sanctuary Lakes Hotel</t>
  </si>
  <si>
    <t>280-286 POINT COOK ROAD POINT COOK, 3030</t>
  </si>
  <si>
    <t>Sandbelt Club Hotel</t>
  </si>
  <si>
    <t>630-646 SOUTH ROAD MOORABBIN VIC, 3189</t>
  </si>
  <si>
    <t>Sandown Park Hotel</t>
  </si>
  <si>
    <t>CNR PRINCES HIGHWAY &amp; CORRIGAN ROAD NOBLE PARK VIC, 3174</t>
  </si>
  <si>
    <t>Sandringham Hotel</t>
  </si>
  <si>
    <t>118 BEACH ROAD SANDRINGHAM VIC, 3191</t>
  </si>
  <si>
    <t>Sands Taverner</t>
  </si>
  <si>
    <t>71 HALL ROAD CARRUM DOWNS VIC, 3201</t>
  </si>
  <si>
    <t>Seaford Rsl</t>
  </si>
  <si>
    <t>17 STATION STREET SEAFORD, 3198</t>
  </si>
  <si>
    <t>Seaford Taverner</t>
  </si>
  <si>
    <t>CNR SEAFORD &amp; FRANKSTON DANDENONG ROADS SEAFORD VIC, 3198</t>
  </si>
  <si>
    <t>Seagulls Nest</t>
  </si>
  <si>
    <t>1 MASON STREET NEWPORT, 3015</t>
  </si>
  <si>
    <t>Sebastopol Bowling Club</t>
  </si>
  <si>
    <t>213-219 ALBERT STREET SEBASTOPOL VIC, 3356</t>
  </si>
  <si>
    <t>Seymour Club</t>
  </si>
  <si>
    <t>CNR ELIZABETH &amp; TALLAROOK STREETS SEYMOUR VIC, 3660</t>
  </si>
  <si>
    <t>Shamrock Hotel</t>
  </si>
  <si>
    <t>CORNER OF PALL MALL &amp; WILLIAMSON STREET BENDIGO VIC, 3550</t>
  </si>
  <si>
    <t>Shanghai Club</t>
  </si>
  <si>
    <t>242-244 LITTLE BOURKE STREET MELBOURNE VIC, 3000</t>
  </si>
  <si>
    <t>Shell Club</t>
  </si>
  <si>
    <t>76 PURNELL ROAD CORIO VIC, 3214</t>
  </si>
  <si>
    <t>Shepparton Club</t>
  </si>
  <si>
    <t>455 WYNDHAM STREET SHEPPARTON, 3630</t>
  </si>
  <si>
    <t>Shepparton Rsl</t>
  </si>
  <si>
    <t>88 WYNDHAM STREET SHEPPARTON VIC, 3630</t>
  </si>
  <si>
    <t>Sherbourne Terrace</t>
  </si>
  <si>
    <t>109 WYNDHAM STREET SHEPPARTON VIC, 3630</t>
  </si>
  <si>
    <t>Shoppingtown Hotel</t>
  </si>
  <si>
    <t>13-19 WILLIAMSONS ROAD DONCASTER VIC, 3108</t>
  </si>
  <si>
    <t>Sir Henry Barkly Hotel</t>
  </si>
  <si>
    <t>92 BURGUNDY STREET HEIDELBERG VIC, 3084</t>
  </si>
  <si>
    <t>Skyways Taverner</t>
  </si>
  <si>
    <t>113 MATHEWS AVENUE AIRPORT WEST VIC, 3042</t>
  </si>
  <si>
    <t>Somerville Hotel</t>
  </si>
  <si>
    <t>84 STATION STREET SOMERVILLE VIC, 3912</t>
  </si>
  <si>
    <t>South Oakleigh Club</t>
  </si>
  <si>
    <t>1 VICTOR ROAD BENTLEIGH EAST, 3165</t>
  </si>
  <si>
    <t>Sphinx Entertainment Centre</t>
  </si>
  <si>
    <t>2 THOMPSON ROAD NORTH GEELONG VIC, 3215</t>
  </si>
  <si>
    <t>Sporting Legends Club</t>
  </si>
  <si>
    <t>233 YORK STREET SALE VIC, 3850</t>
  </si>
  <si>
    <t>Sportspark Gaming And Entertainment Centre</t>
  </si>
  <si>
    <t>CNR GREVILLEA ROAD &amp; DOWLING STREET WENDOUREE VIC, 3355</t>
  </si>
  <si>
    <t>Springvale Rsl Club</t>
  </si>
  <si>
    <t>23 OSBORNE AVENUE SPRINGVALE VIC, 3171</t>
  </si>
  <si>
    <t>Ss &amp; A Wodonga</t>
  </si>
  <si>
    <t>CLUB HOUSE PLACE WODONGA WEST, 3690</t>
  </si>
  <si>
    <t>St Albans Hotel</t>
  </si>
  <si>
    <t>5 MCKECHNIE STREET ST ALBANS VIC, 3021</t>
  </si>
  <si>
    <t>St Albans Sports Club</t>
  </si>
  <si>
    <t>KINGS PARK RESERVE, GILLESPIE ROAD ST ALBANS VIC, 3021</t>
  </si>
  <si>
    <t>St Arnaud Sporting Club</t>
  </si>
  <si>
    <t>LORD NELSON PARK, CHARLTON ROAD ST ARNAUD VIC, 3478</t>
  </si>
  <si>
    <t>St George Workers Club</t>
  </si>
  <si>
    <t>212 PAKINGTON STREET GEELONG WEST VIC, 3218</t>
  </si>
  <si>
    <t>St Ives Biere Cafe</t>
  </si>
  <si>
    <t>64 LINCOLN CAUSEWAY WODONGA, 3691</t>
  </si>
  <si>
    <t>St Kilda Army &amp; Navy Club</t>
  </si>
  <si>
    <t>88 ACLAND STREET ST KILDA VIC, 3182</t>
  </si>
  <si>
    <t>St Kilda Football Social Club</t>
  </si>
  <si>
    <t>9 LINTON STREET MOORABBIN VIC, 3189</t>
  </si>
  <si>
    <t>Stamford Hotel</t>
  </si>
  <si>
    <t>CNR STUD &amp; WELLINGTON ROAD ROWVILLE VIC, 3178</t>
  </si>
  <si>
    <t>Star Hotel (Bright)</t>
  </si>
  <si>
    <t>91 GREAT ALPINE ROAD BRIGHT VIC, 3741</t>
  </si>
  <si>
    <t>Star Hotel (Sale)</t>
  </si>
  <si>
    <t>173 RAYMOND STREET SALE VIC, 3850</t>
  </si>
  <si>
    <t>Stawell Harness Racing Club</t>
  </si>
  <si>
    <t>LAIDLAW PARK, PATRICK STREET STAWELL VIC, 3380</t>
  </si>
  <si>
    <t>Steeples</t>
  </si>
  <si>
    <t>CORNER MORNINGTON-TYABB &amp; RACECOURSE ROAD MORNINGTON VIC, 3931</t>
  </si>
  <si>
    <t>Stoneys Club</t>
  </si>
  <si>
    <t>59 GRANT STREET BACCHUS MARSH, 3340</t>
  </si>
  <si>
    <t>Sugar Gum Hotel</t>
  </si>
  <si>
    <t>2 GOURLAY ROAD SYDENHAM, 3037</t>
  </si>
  <si>
    <t>Summerhill Hotel</t>
  </si>
  <si>
    <t>SHOP 12, 830 PLENTY ROAD RESERVOIR VIC, 3073</t>
  </si>
  <si>
    <t>Sunbury Bowling Club</t>
  </si>
  <si>
    <t>49 RIDDELL ROAD SUNBURY VIC, 3429</t>
  </si>
  <si>
    <t>Sunbury Football Social Club</t>
  </si>
  <si>
    <t>CLARKE OVAL, RIDDELL ROAD SUNBURY VIC, 3429</t>
  </si>
  <si>
    <t>Sunbury United Sporting Club</t>
  </si>
  <si>
    <t>LANGAMA PARK, MITCHELLS LANE SUNBURY, 3429</t>
  </si>
  <si>
    <t>Sunshine City Club</t>
  </si>
  <si>
    <t>24 TALMAGE STREET SUNSHINE VIC, 3020</t>
  </si>
  <si>
    <t>Sunshine Rsl</t>
  </si>
  <si>
    <t>99 DICKSON STREET SUNSHINE, 3020</t>
  </si>
  <si>
    <t>Swan Hill Club</t>
  </si>
  <si>
    <t>5 - 17 MCCALLUM STREET SWAN HILL VIC, 3585</t>
  </si>
  <si>
    <t>Swan Hill Rsl</t>
  </si>
  <si>
    <t>138 CURLEWIS STREET SWAN HILL VIC, 3585</t>
  </si>
  <si>
    <t>Sylvania Hotel</t>
  </si>
  <si>
    <t>1631 SYDNEY ROAD CAMPBELLFIELD VIC, 3061</t>
  </si>
  <si>
    <t>Tabcorp Park</t>
  </si>
  <si>
    <t>2 FERRIS ROAD MELTON SOUTH, 3338</t>
  </si>
  <si>
    <t>Tankerville Arms Hotel</t>
  </si>
  <si>
    <t>230 NICHOLSON STREET FITZROY VIC, 3065</t>
  </si>
  <si>
    <t>Taylors Lakes Family Hotel</t>
  </si>
  <si>
    <t>7 MELTON HIGHWAY TAYLORS LAKES VIC, 3038</t>
  </si>
  <si>
    <t>Templestowe Hotel</t>
  </si>
  <si>
    <t>23-29 PARKER STREET LOWER TEMPLESTOWE, 3107</t>
  </si>
  <si>
    <t>The Bay &amp; Bridge Hotel</t>
  </si>
  <si>
    <t>316 BAY STREET PORT MELBOURNE, 3207</t>
  </si>
  <si>
    <t>The Beach</t>
  </si>
  <si>
    <t>97 BEACONSFIELD PARADE ALBERT PARK VIC, 3206</t>
  </si>
  <si>
    <t>The Bendigo Club</t>
  </si>
  <si>
    <t>22 PARK STREET BENDIGO VIC, 3550</t>
  </si>
  <si>
    <t>The Borough Club</t>
  </si>
  <si>
    <t>2-4 HIGH STREET EAGLEHAWK VIC, 3556</t>
  </si>
  <si>
    <t>The Bridge Hotel</t>
  </si>
  <si>
    <t>1 NEPEAN HIGHWAY MORDIALLOC VIC, 3195</t>
  </si>
  <si>
    <t>The Brook On Sneydes</t>
  </si>
  <si>
    <t>215 SNEYDES ROAD POINT COOK, 3030</t>
  </si>
  <si>
    <t>The Brunswick Club</t>
  </si>
  <si>
    <t>203 SYDNEY ROAD BRUNSWICK VIC, 3056</t>
  </si>
  <si>
    <t>The Chase Hotel</t>
  </si>
  <si>
    <t>TENANCY 304 LEVEL 3, 270 CANTERBURY ROAD FOREST HILL VIC, 3131</t>
  </si>
  <si>
    <t>The Club</t>
  </si>
  <si>
    <t>1312 - 1322 WESTERN HIGHWAY CAROLINE SPRINGS VIC, 3023</t>
  </si>
  <si>
    <t>The Coach And Horses</t>
  </si>
  <si>
    <t>33 WHITEHORSE ROAD RINGWOOD, 3134</t>
  </si>
  <si>
    <t>The Continental Hotel</t>
  </si>
  <si>
    <t>The Cove Hotel</t>
  </si>
  <si>
    <t>THE MARINA, MCLEOD ROAD PATTERSON LAKES VIC, 3197</t>
  </si>
  <si>
    <t>The Elsternwick Club</t>
  </si>
  <si>
    <t>19 SANDHAM STREET ELSTERNWICK VIC, 3185</t>
  </si>
  <si>
    <t>The Foundry Hotel Complex</t>
  </si>
  <si>
    <t>366 HIGH STREET BENDIGO, 3555</t>
  </si>
  <si>
    <t>The International</t>
  </si>
  <si>
    <t>471 MAROONDAH HIGHWAY LILYDALE VIC, 3140</t>
  </si>
  <si>
    <t>The Jim Dandy Hotel</t>
  </si>
  <si>
    <t>193 LONSDALE STREET DANDENONG VIC, 3175</t>
  </si>
  <si>
    <t>The Lakes Entertainment Centre</t>
  </si>
  <si>
    <t>38 CHURCH STREET LAKES ENTRANCE, 3909</t>
  </si>
  <si>
    <t>The Meeting Place</t>
  </si>
  <si>
    <t>315-321 ELIZABETH STREET MELBOURNE VIC, 3000</t>
  </si>
  <si>
    <t>The Miners Tavern</t>
  </si>
  <si>
    <t>118-122 LYDIARD STREET NORTH BALLARAT, 3350</t>
  </si>
  <si>
    <t>The Moonee Ponds Club</t>
  </si>
  <si>
    <t>622 MT ALEXANDER ROAD MOONEE PONDS VIC, 3039</t>
  </si>
  <si>
    <t>The Old Town 'N' Country Tavern</t>
  </si>
  <si>
    <t>CNR GRETA ROAD &amp; MASON STREET WANGARATTA VIC, 3677</t>
  </si>
  <si>
    <t>The Orbost Club</t>
  </si>
  <si>
    <t>67-69 GLADSTONE STREET ORBOST VIC, 3888</t>
  </si>
  <si>
    <t>The Phoenix Hotel</t>
  </si>
  <si>
    <t>40 WALLACE AVENUE POINT COOK, 3030</t>
  </si>
  <si>
    <t>The Prince Of Wales Hotel - Richmond</t>
  </si>
  <si>
    <t>109 CHURCH STREET RICHMOND VIC, 3121</t>
  </si>
  <si>
    <t>The Rex</t>
  </si>
  <si>
    <t>145 BAY STREET PORT MELBOURNE, 3207</t>
  </si>
  <si>
    <t>The Richmond Henty Hotel, Portland</t>
  </si>
  <si>
    <t>101 BENTINCK STREET PORTLAND VICTORIA, 3305</t>
  </si>
  <si>
    <t>The Royal Hotel Ferntree Gully</t>
  </si>
  <si>
    <t>1208 BURWOOD HIGHWAY FERNTREE GULLY VIC, 3156</t>
  </si>
  <si>
    <t>The Sale Rsl &amp; Community Sub-Branch</t>
  </si>
  <si>
    <t>143 YORK STREET SALE, 3850</t>
  </si>
  <si>
    <t>The Settlement At Cranbourne</t>
  </si>
  <si>
    <t>CNR SOUTH GIPPSLAND HIGHWAY &amp; CAMMS ROAD CRANBOURNE VIC, 3977</t>
  </si>
  <si>
    <t>The Tigers Clubhouse</t>
  </si>
  <si>
    <t>70 OLD GEELONG ROAD HOPPERS CROSSING, 3029</t>
  </si>
  <si>
    <t>The Vale Hotel</t>
  </si>
  <si>
    <t>2277 DANDENONG ROAD MULGRAVE, 3170</t>
  </si>
  <si>
    <t>The Vic Inn</t>
  </si>
  <si>
    <t>65-67 DOUGLAS PARADE WILLIAMSTOWN VIC, 3016</t>
  </si>
  <si>
    <t>The Yarram Country Club</t>
  </si>
  <si>
    <t>322-340 COMMERCIAL ROAD YARRAM, 3971</t>
  </si>
  <si>
    <t>Tooradin &amp; District Sports Club</t>
  </si>
  <si>
    <t>RECREATION RESERVE, SOUTH GIPPSLAND HIGHWAY TOORADIN VIC, 3980</t>
  </si>
  <si>
    <t>Torquay Golf Club</t>
  </si>
  <si>
    <t>1 THE GREAT OCEAN ROAD TORQUAY VIC, 3228</t>
  </si>
  <si>
    <t>Torquay Hotel</t>
  </si>
  <si>
    <t>36 BELL STREET TORQUAY VIC, 3228</t>
  </si>
  <si>
    <t>Tower Hotel</t>
  </si>
  <si>
    <t>686 BURWOOD ROAD EAST HAWTHORN, 3123</t>
  </si>
  <si>
    <t>Town Hall Hotel Stawell</t>
  </si>
  <si>
    <t>62-68 MAIN STREET STAWELL VIC, 3380</t>
  </si>
  <si>
    <t>Traralgon Bowls Club</t>
  </si>
  <si>
    <t>CNR GWALIA STREET &amp; LIDDIARD ROAD TRARALGON VIC, 3844</t>
  </si>
  <si>
    <t>Traralgon Rsl</t>
  </si>
  <si>
    <t>109-115 GREY STREET TRARALGON VIC, 3844</t>
  </si>
  <si>
    <t>Trios Sports Club</t>
  </si>
  <si>
    <t>30 GRANT STREET CRANBOURNE, 3977</t>
  </si>
  <si>
    <t>Tudor Inn Hotel</t>
  </si>
  <si>
    <t>1281 NEPEAN HIGHWAY CHELTENHAM VIC, 3192</t>
  </si>
  <si>
    <t>Union Club Hotel</t>
  </si>
  <si>
    <t>110 MURRAY STREET COLAC VIC, 3250</t>
  </si>
  <si>
    <t>Upper Yarra Rsl</t>
  </si>
  <si>
    <t>119 SETTLEMENT ROAD YARRA JUNCTION VIC, 3797</t>
  </si>
  <si>
    <t>Vaucluse Hotel</t>
  </si>
  <si>
    <t>157 SWAN STREET RICHMOND, 3121</t>
  </si>
  <si>
    <t>Vegas At Waverley Gardens</t>
  </si>
  <si>
    <t>SHOP 122, WAVERLEY GARDENS SHOPPING CENTRE MULGRAVE VIC, 3170</t>
  </si>
  <si>
    <t>Veneto Club</t>
  </si>
  <si>
    <t>191 BULLEEN ROAD BULLEEN VIC, 3105</t>
  </si>
  <si>
    <t>Victoria Hotel (Shepparton)</t>
  </si>
  <si>
    <t>CNR WYNDHAM &amp; FRYERS STREETS SHEPPARTON VIC, 3630</t>
  </si>
  <si>
    <t>Victoria On Hyde Hotel</t>
  </si>
  <si>
    <t>188 HYDE STREET YARRAVILLE VIC, 3013</t>
  </si>
  <si>
    <t>Victorian Harness Racing Sports Club</t>
  </si>
  <si>
    <t>740 MT ALEXANDER ROAD MOONEE PONDS VIC, 3039</t>
  </si>
  <si>
    <t>Victorian Tavern</t>
  </si>
  <si>
    <t>22 AITKEN STREET GISBORNE VIC, 3437</t>
  </si>
  <si>
    <t>Village Belle Hotel</t>
  </si>
  <si>
    <t>202 BARKLY STREET ST KILDA VIC, 3182</t>
  </si>
  <si>
    <t>Village Green Hotel</t>
  </si>
  <si>
    <t>CNR SPRINGVALE &amp; FERNTREE GULLY ROAD MULGRAVE VIC, 3170</t>
  </si>
  <si>
    <t>Vine Hotel Richmond</t>
  </si>
  <si>
    <t>254 BRIDGE ROAD RICHMOND VIC, 3121</t>
  </si>
  <si>
    <t>Waltzing Matilda Hotel</t>
  </si>
  <si>
    <t>856 - 868 HEATHERTON ROAD SPRINGVALE VIC, 3171</t>
  </si>
  <si>
    <t>Wangaratta Club</t>
  </si>
  <si>
    <t>4 VICTORIA PARADE WANGARATTA VIC, 3677</t>
  </si>
  <si>
    <t>Wangaratta Rsl</t>
  </si>
  <si>
    <t>VICTORIA PARADE WANGARATTA VIC, 3677</t>
  </si>
  <si>
    <t>Wantirna Club</t>
  </si>
  <si>
    <t>350 STUD ROAD WANTIRNA VIC, 3152</t>
  </si>
  <si>
    <t>Wantirna Hill Club</t>
  </si>
  <si>
    <t>715 BORONIA ROAD WANTIRNA, 3152</t>
  </si>
  <si>
    <t>Warragul Club</t>
  </si>
  <si>
    <t>55 VICTORIA STREET WARRAGUL VIC, 3820</t>
  </si>
  <si>
    <t>Warragul Country Club</t>
  </si>
  <si>
    <t>41 SUTTON STREET WARRAGUL VIC, 3820</t>
  </si>
  <si>
    <t>Warrnambool Bowls Club</t>
  </si>
  <si>
    <t>75 TIMOR STREET WARRNAMBOOL VIC, 3280</t>
  </si>
  <si>
    <t>Warrnambool Football Club Social Club</t>
  </si>
  <si>
    <t>CRAMER STREET WARRNAMBOOL VIC, 3280</t>
  </si>
  <si>
    <t>Warrnambool Rsl</t>
  </si>
  <si>
    <t>CORNER LIEBIG &amp; MERRI STREET WARRNAMBOOL VIC, 3280</t>
  </si>
  <si>
    <t>Watergardens Hotel</t>
  </si>
  <si>
    <t>431 KINGS ROAD TAYLORS LAKES, 3038</t>
  </si>
  <si>
    <t>Waterloo Cup Hotel</t>
  </si>
  <si>
    <t>252 MARIBYRNONG ROAD MOONEE PONDS VIC, 3039</t>
  </si>
  <si>
    <t>Watsonia Rsl</t>
  </si>
  <si>
    <t>6 MORWELL AVENUE WATSONIA VIC, 3087</t>
  </si>
  <si>
    <t>Waurn Ponds Hotel</t>
  </si>
  <si>
    <t>PRINCES HIGHWAY WAURN PONDS VIC, 3216</t>
  </si>
  <si>
    <t>Waverley Rsl Club</t>
  </si>
  <si>
    <t>CNR COLEMAN PDE &amp; GLENDALE STREET GLEN WAVERLEY VIC, 3150</t>
  </si>
  <si>
    <t>Werribee Bowling Club</t>
  </si>
  <si>
    <t>CHIRNSIDE PARK, WATTON STREET WERRIBEE VIC, 3030</t>
  </si>
  <si>
    <t>Werribee Plaza Tavern</t>
  </si>
  <si>
    <t>CNR DERRIMUT AND HEATH ROADS WERRIBEE VIC, 3030</t>
  </si>
  <si>
    <t>Werribee Rsl</t>
  </si>
  <si>
    <t>KELLY PARK, SYNOTT STREET WERRIBEE VIC, 3030</t>
  </si>
  <si>
    <t>West Heidelberg Rsl</t>
  </si>
  <si>
    <t>180 BELL STREET WEST HEIDELBERG VIC, 3081</t>
  </si>
  <si>
    <t>West Side Horsham</t>
  </si>
  <si>
    <t>BENNETT ROAD HORSHAM VIC, 3401</t>
  </si>
  <si>
    <t>West Waters Hotel</t>
  </si>
  <si>
    <t>10-20 LAKE STREET CAROLINE SPRINGS, 3023</t>
  </si>
  <si>
    <t>Westend Market Hotel</t>
  </si>
  <si>
    <t>47 MCINTYRE ROAD SUNSHINE VIC, 3020</t>
  </si>
  <si>
    <t>Westernport Hotel</t>
  </si>
  <si>
    <t>CORNER SALMON &amp; HIGH STREETS HASTINGS VIC, 3915</t>
  </si>
  <si>
    <t>Westmeadows Tavern</t>
  </si>
  <si>
    <t>10 ARDLIE STREET WESTMEADOWS VIC, 3049</t>
  </si>
  <si>
    <t>Westside Taverner</t>
  </si>
  <si>
    <t>3-5 FITZGERALD ROAD LAVERTON NORTH VIC, 3026</t>
  </si>
  <si>
    <t>Whalers Hotel</t>
  </si>
  <si>
    <t>53 LIEBIG STREET WARRNAMBOOL VIC, 3280</t>
  </si>
  <si>
    <t>Wheelers Hill Hotel</t>
  </si>
  <si>
    <t>871-891 FERNTREE GULLY ROAD WHEELERS HILL VIC, 3150</t>
  </si>
  <si>
    <t>Whittlesea Bowls Club</t>
  </si>
  <si>
    <t>101 CHURCH STREET WHITTLESEA VIC, 3757</t>
  </si>
  <si>
    <t>Williamstown Rsl</t>
  </si>
  <si>
    <t>128 FERGUSON STREET WILLIAMSTOWN VIC, 3016</t>
  </si>
  <si>
    <t>Windermere Hotel</t>
  </si>
  <si>
    <t>112 HIGH STREET KANGAROO FLAT VIC, 3555</t>
  </si>
  <si>
    <t>Wonthaggi Club</t>
  </si>
  <si>
    <t>16 MCBRIDE AVENUE WONTHAGGI VIC, 3995</t>
  </si>
  <si>
    <t>Wonthaggi Golf Club</t>
  </si>
  <si>
    <t>MCKENZIE STREET WONTHAGGI VIC, 3995</t>
  </si>
  <si>
    <t>Wonthaggi Workmen'S Club</t>
  </si>
  <si>
    <t>75 GRAHAM STREET WONTHAGGI VIC, 3995</t>
  </si>
  <si>
    <t>Yallourn Bowling Club</t>
  </si>
  <si>
    <t>CNR MONASH &amp; COACH ROADS NEWBOROUGH VIC, 3825</t>
  </si>
  <si>
    <t>Yarra Valley Country Club</t>
  </si>
  <si>
    <t>9 - 15 TEMPLESTOWE ROAD BULLEEN VIC, 3105</t>
  </si>
  <si>
    <t>Yarraville-Footscray Bowling Club</t>
  </si>
  <si>
    <t>CNR FRANCIS &amp; HAWKHURST STREET YARRAVILLE VIC, 3013</t>
  </si>
  <si>
    <t>Yarraville Club</t>
  </si>
  <si>
    <t>135 STEPHEN STREET YARRAVILLE VIC, 3013</t>
  </si>
  <si>
    <t>Yarraville Club Cricket Club</t>
  </si>
  <si>
    <t>CORNER BALLARAT &amp; ROSAMOND ROADS MAIDSTONE VIC, 3012</t>
  </si>
  <si>
    <t>York On Lilydale Taverner Resort</t>
  </si>
  <si>
    <t>CNR YORK &amp; SWANSEA ROADS MT EVELYN VIC, 3796</t>
  </si>
  <si>
    <t>Zagame'S Ballarat Club Hotel</t>
  </si>
  <si>
    <t>629 - 643 MAIN ROAD BALLARAT, 3350</t>
  </si>
  <si>
    <t>Zagame'S Cardinia Hotel</t>
  </si>
  <si>
    <t>Zagame'S Caulfield Club Hotel</t>
  </si>
  <si>
    <t>25 DERBY ROAD CAULFIELD EAST VIC, 3145</t>
  </si>
  <si>
    <t>Zagame Boronia</t>
  </si>
  <si>
    <t>112 BORONIA ROAD BORONIA VIC, 3155</t>
  </si>
  <si>
    <t>Losses per EGM</t>
  </si>
  <si>
    <t>Club</t>
  </si>
  <si>
    <t>Metro</t>
  </si>
  <si>
    <t>Hotel</t>
  </si>
  <si>
    <t>Country</t>
  </si>
  <si>
    <t>Essendon Football &amp; Community Sporting C</t>
  </si>
  <si>
    <t>Italian Australian Sporting And Social C</t>
  </si>
  <si>
    <t>Phoenix  Hotel</t>
  </si>
  <si>
    <t>Queenscliff Bowling Tennis And Croquet C</t>
  </si>
  <si>
    <t>Sportspark Gaming And Entertainment Cent</t>
  </si>
  <si>
    <t>Data</t>
  </si>
  <si>
    <t>Adj Data</t>
  </si>
  <si>
    <t>Rank</t>
  </si>
  <si>
    <t>Venues 2015</t>
  </si>
  <si>
    <r>
      <rPr>
        <b/>
        <sz val="8"/>
        <color indexed="13"/>
        <rFont val="Garamond"/>
        <family val="1"/>
      </rPr>
      <t>…………..….</t>
    </r>
    <r>
      <rPr>
        <b/>
        <sz val="11"/>
        <color indexed="13"/>
        <rFont val="Garamond"/>
        <family val="1"/>
      </rPr>
      <t>Subtotals</t>
    </r>
    <r>
      <rPr>
        <b/>
        <sz val="8"/>
        <color indexed="13"/>
        <rFont val="Garamond"/>
        <family val="1"/>
      </rPr>
      <t>…………..….</t>
    </r>
  </si>
  <si>
    <t xml:space="preserve">Region </t>
  </si>
  <si>
    <t>Bay &amp; Bridge Hotel</t>
  </si>
  <si>
    <t>Beach</t>
  </si>
  <si>
    <t>Bendigo Club</t>
  </si>
  <si>
    <t>Borough Club</t>
  </si>
  <si>
    <t>Bridge Hotel</t>
  </si>
  <si>
    <t>Brook On Sneydes</t>
  </si>
  <si>
    <t>Brunswick Club</t>
  </si>
  <si>
    <t>Cardinia Park Hotel</t>
  </si>
  <si>
    <t>Chase Hotel</t>
  </si>
  <si>
    <t>Coach And Horses</t>
  </si>
  <si>
    <t>Cove Hotel</t>
  </si>
  <si>
    <t>Elsternwick Club</t>
  </si>
  <si>
    <t>Foundry Hotel Complex</t>
  </si>
  <si>
    <t>International</t>
  </si>
  <si>
    <t>Lakes Entertainment Centre</t>
  </si>
  <si>
    <t>Meeting Place</t>
  </si>
  <si>
    <t>Mildura Working Mans Sports &amp; Social Clu</t>
  </si>
  <si>
    <t>Miners Tavern</t>
  </si>
  <si>
    <t>Moonee Ponds Club</t>
  </si>
  <si>
    <t>Old Town 'N' Country Tavern</t>
  </si>
  <si>
    <t>Orbost Club</t>
  </si>
  <si>
    <t>Prince Of Wales Hotel - Richmond</t>
  </si>
  <si>
    <t>Rex</t>
  </si>
  <si>
    <t>Richmond Henty Hotel, Portland</t>
  </si>
  <si>
    <t>Rose Shamrock &amp; Thistle Hotel</t>
  </si>
  <si>
    <t>Royal Hotel Ferntree Gully</t>
  </si>
  <si>
    <t>Settlement At Cranbourne</t>
  </si>
  <si>
    <t>Star Hotel Bright</t>
  </si>
  <si>
    <t>Terminus Hotel</t>
  </si>
  <si>
    <t>Tigers Clubhouse</t>
  </si>
  <si>
    <t>Vale Hotel</t>
  </si>
  <si>
    <t>Vic Inn</t>
  </si>
  <si>
    <t>Yarram Country Club</t>
  </si>
  <si>
    <t>Bairnsdale Sporting And Convention Centr</t>
  </si>
  <si>
    <t>Sale Rsl &amp; Community Sub-Branch</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</si>
  <si>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</si>
  <si>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</si>
  <si>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</si>
  <si>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</si>
  <si>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</si>
  <si>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Table for Creating Correlations for  Metropolitan Municipalities</t>
  </si>
  <si>
    <t>Banyule (C)</t>
  </si>
  <si>
    <t>Bayside (C)</t>
  </si>
  <si>
    <t>Boroondara (C)</t>
  </si>
  <si>
    <t>Brimbank (C)</t>
  </si>
  <si>
    <t>Cardinia (S)</t>
  </si>
  <si>
    <t>Casey (C)</t>
  </si>
  <si>
    <t>Darebin (C)</t>
  </si>
  <si>
    <t>Frankston (C)</t>
  </si>
  <si>
    <t>Glen Eira (C)</t>
  </si>
  <si>
    <t>Greater Dandenong (C)</t>
  </si>
  <si>
    <t>Hobsons Bay (S)</t>
  </si>
  <si>
    <t>Hume (C)</t>
  </si>
  <si>
    <t>Kingston (C)</t>
  </si>
  <si>
    <t>Knox (C)</t>
  </si>
  <si>
    <t>Manningham (C)</t>
  </si>
  <si>
    <t>Maribyrnong (C)</t>
  </si>
  <si>
    <t>Maroondah (C)</t>
  </si>
  <si>
    <t>Melbourne (C)</t>
  </si>
  <si>
    <t>Melton (S)</t>
  </si>
  <si>
    <t>Monash (C)</t>
  </si>
  <si>
    <t>Moonee Valley (C)</t>
  </si>
  <si>
    <t>Moreland (C)</t>
  </si>
  <si>
    <t>Mornington Peninsula (S)</t>
  </si>
  <si>
    <t>Nillumbik (S)</t>
  </si>
  <si>
    <t>Port Phillip (C)</t>
  </si>
  <si>
    <t>Stonnington (C)</t>
  </si>
  <si>
    <t>Whitehorse (C)</t>
  </si>
  <si>
    <t>Whittlesea (C)</t>
  </si>
  <si>
    <t>Wyndham (C)</t>
  </si>
  <si>
    <t>Yarra (C)</t>
  </si>
  <si>
    <t>Yarra Ranges (S)</t>
  </si>
  <si>
    <t>Nilumbik</t>
  </si>
  <si>
    <t>Lineer R</t>
  </si>
  <si>
    <t>Mornington Pen.</t>
  </si>
  <si>
    <t>Row X</t>
  </si>
  <si>
    <t>Row Y</t>
  </si>
  <si>
    <t>Correlation</t>
  </si>
  <si>
    <t>Guide No.</t>
  </si>
  <si>
    <t>Rank no.</t>
  </si>
  <si>
    <t>FOR LINEAR REGRESSION ONLY</t>
  </si>
  <si>
    <t>n</t>
  </si>
  <si>
    <t>X</t>
  </si>
  <si>
    <t>Sum X</t>
  </si>
  <si>
    <t>Y</t>
  </si>
  <si>
    <t>Sum Y</t>
  </si>
  <si>
    <t>XY</t>
  </si>
  <si>
    <t>Sum XY</t>
  </si>
  <si>
    <t>X2</t>
  </si>
  <si>
    <t>b=Sxy/Sxx</t>
  </si>
  <si>
    <t>Sxy</t>
  </si>
  <si>
    <t>Sxx</t>
  </si>
  <si>
    <t>b</t>
  </si>
  <si>
    <t>Yave = bXave + a</t>
  </si>
  <si>
    <t>Xave</t>
  </si>
  <si>
    <t>Yave</t>
  </si>
  <si>
    <t>a</t>
  </si>
  <si>
    <t xml:space="preserve">Venues </t>
  </si>
  <si>
    <t>EGMs</t>
  </si>
  <si>
    <t>Linked by formulae o the raw data on the page 'Data'</t>
  </si>
  <si>
    <t>Losses 
2013/14</t>
  </si>
  <si>
    <t>Losses 
2012/13</t>
  </si>
  <si>
    <t>*</t>
  </si>
  <si>
    <t>-</t>
  </si>
  <si>
    <t>EGM Gambling Losses per day</t>
  </si>
  <si>
    <t>Victoria</t>
  </si>
  <si>
    <t>Melbourne metro.</t>
  </si>
  <si>
    <r>
      <t xml:space="preserve">        Select a comparison locality  </t>
    </r>
    <r>
      <rPr>
        <sz val="9"/>
        <color indexed="8"/>
        <rFont val="Wingdings 2"/>
        <family val="1"/>
        <charset val="2"/>
      </rPr>
      <t>K</t>
    </r>
    <r>
      <rPr>
        <sz val="9"/>
        <color indexed="8"/>
        <rFont val="Palatino"/>
        <family val="1"/>
      </rPr>
      <t xml:space="preserve">   </t>
    </r>
  </si>
  <si>
    <r>
      <t xml:space="preserve">                                                                   Select a locality, below        </t>
    </r>
    <r>
      <rPr>
        <sz val="9"/>
        <color indexed="8"/>
        <rFont val="Wingdings 2"/>
        <family val="1"/>
        <charset val="2"/>
      </rPr>
      <t>K</t>
    </r>
    <r>
      <rPr>
        <sz val="9"/>
        <color indexed="8"/>
        <rFont val="Palatino"/>
        <family val="1"/>
      </rPr>
      <t xml:space="preserve">   </t>
    </r>
  </si>
  <si>
    <t xml:space="preserve">Venue type </t>
  </si>
  <si>
    <t>Expenditure
01 Jul 15 - 30 June 16</t>
  </si>
  <si>
    <t>EGM Numbers as at 
30 June 2016</t>
  </si>
  <si>
    <t>Club Officer</t>
  </si>
  <si>
    <t>Headquarters Tavern</t>
  </si>
  <si>
    <t>Expenditure</t>
  </si>
  <si>
    <t>EGM numbers</t>
  </si>
  <si>
    <t>ZagameS Ballarat Club Hotel</t>
  </si>
  <si>
    <t>ZagameS Caulfield Club Hotel</t>
  </si>
  <si>
    <t>Losses 
2015/16</t>
  </si>
  <si>
    <t>Losses 
2014/15</t>
  </si>
  <si>
    <t>EGMs 
2016</t>
  </si>
  <si>
    <t xml:space="preserve">Venue 
type </t>
  </si>
  <si>
    <t>Measures of gambling losses, rates of losses, EGM numbers and density, and other details, for Victorian municipalities</t>
  </si>
  <si>
    <t>Listing of gambling venues by municipality - including venue-level gambling losses</t>
  </si>
  <si>
    <t>Back to Front Page</t>
  </si>
  <si>
    <t>Attached Entitlements: 2016</t>
  </si>
  <si>
    <t>EGMs 2017</t>
  </si>
  <si>
    <r>
      <t>X</t>
    </r>
    <r>
      <rPr>
        <b/>
        <vertAlign val="superscript"/>
        <sz val="10"/>
        <color theme="0"/>
        <rFont val="Times New Roman"/>
        <family val="1"/>
      </rPr>
      <t>2</t>
    </r>
  </si>
  <si>
    <r>
      <t>Sum X</t>
    </r>
    <r>
      <rPr>
        <b/>
        <vertAlign val="superscript"/>
        <sz val="10"/>
        <color theme="0"/>
        <rFont val="Times New Roman"/>
        <family val="1"/>
      </rPr>
      <t>2</t>
    </r>
  </si>
  <si>
    <t>Losses 2016/17</t>
  </si>
  <si>
    <t>CASTELLO'S CARDINIA HOTEL</t>
  </si>
  <si>
    <t>GRAND ON DEAKIN</t>
  </si>
  <si>
    <t>MVRC JUNCTION CLUB</t>
  </si>
  <si>
    <t>Valley Inn Hotel</t>
  </si>
  <si>
    <r>
      <t>% Change in Losses</t>
    </r>
    <r>
      <rPr>
        <i/>
        <sz val="10"/>
        <color indexed="59"/>
        <rFont val="Palatino"/>
        <family val="1"/>
      </rPr>
      <t xml:space="preserve"> </t>
    </r>
    <r>
      <rPr>
        <sz val="8"/>
        <color indexed="59"/>
        <rFont val="Palatino"/>
        <family val="1"/>
      </rPr>
      <t>- adjusted for Inflation (4)</t>
    </r>
  </si>
  <si>
    <t>EGMs 2018</t>
  </si>
  <si>
    <t>Losses 17/18 ($Million)</t>
  </si>
  <si>
    <r>
      <t>Comparison of municipalities on key EGM gambling indicators</t>
    </r>
    <r>
      <rPr>
        <sz val="18"/>
        <color rgb="FF008000"/>
        <rFont val="Garamond"/>
        <family val="1"/>
      </rPr>
      <t>………………….</t>
    </r>
  </si>
  <si>
    <r>
      <t>Associations between EGM gambling and social disadvantage</t>
    </r>
    <r>
      <rPr>
        <sz val="18"/>
        <color rgb="FF008000"/>
        <rFont val="Garamond"/>
        <family val="1"/>
      </rPr>
      <t>………………………...</t>
    </r>
  </si>
  <si>
    <t>Club, The</t>
  </si>
  <si>
    <t>Clayton Hotel</t>
  </si>
  <si>
    <t>Richmond Social</t>
  </si>
  <si>
    <t>Losses 2017/18</t>
  </si>
  <si>
    <t>Castello'S Cardinia Hotel</t>
  </si>
  <si>
    <t>Grand On Deakin</t>
  </si>
  <si>
    <t>Mvrc Junction Club</t>
  </si>
  <si>
    <t>Mvrc Leighoak Club</t>
  </si>
  <si>
    <t>Newborough Bowling Club</t>
  </si>
  <si>
    <t>The Camden Town Hotel</t>
  </si>
  <si>
    <t>The Clayton Hotel</t>
  </si>
  <si>
    <t>The Richmond Social</t>
  </si>
  <si>
    <t>EGM Gambling Losses by Metropolitan LGA: 1992 to 2018</t>
  </si>
  <si>
    <t>1992/3</t>
  </si>
  <si>
    <t>1993/4</t>
  </si>
  <si>
    <t>1994/5</t>
  </si>
  <si>
    <t>1995/6</t>
  </si>
  <si>
    <t>1996/7</t>
  </si>
  <si>
    <t>1997/8</t>
  </si>
  <si>
    <t>1998/9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</si>
  <si>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</si>
  <si>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</si>
  <si>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</si>
  <si>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</si>
  <si>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</si>
  <si>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</si>
  <si>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</si>
  <si>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</si>
  <si>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</si>
  <si>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</si>
  <si>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</si>
  <si>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</si>
  <si>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</si>
  <si>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</si>
  <si>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</si>
  <si>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</si>
  <si>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</si>
  <si>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</si>
  <si>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</si>
  <si>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Metro. Melbourne</t>
  </si>
  <si>
    <t>CPI</t>
  </si>
  <si>
    <t>From data published by the Victorian Commission for Liquor and Gambling Regulation</t>
  </si>
  <si>
    <t>Per cent change</t>
  </si>
  <si>
    <t xml:space="preserve">           Numeric change</t>
  </si>
  <si>
    <t>No adjustment for inflation</t>
  </si>
  <si>
    <t>Adjust for inflation</t>
  </si>
  <si>
    <t>NOMINAL GAMING LOSSES</t>
  </si>
  <si>
    <t>GAMING LOSSES ADJUSTED FOR INFLATION</t>
  </si>
  <si>
    <t>Cumulative</t>
  </si>
  <si>
    <t>Losses ($millions)</t>
  </si>
  <si>
    <t>Cumulative Losses: 1992 to 2017/18</t>
  </si>
  <si>
    <t>Start year</t>
  </si>
  <si>
    <t>End year</t>
  </si>
  <si>
    <t>Type of change</t>
  </si>
  <si>
    <r>
      <t xml:space="preserve">                         Select locality of interest  </t>
    </r>
    <r>
      <rPr>
        <sz val="8"/>
        <rFont val="Wingdings"/>
        <charset val="2"/>
      </rPr>
      <t>F</t>
    </r>
  </si>
  <si>
    <r>
      <t xml:space="preserve">                 And a locality for comparison  </t>
    </r>
    <r>
      <rPr>
        <sz val="8"/>
        <rFont val="Wingdings"/>
        <charset val="2"/>
      </rPr>
      <t>F</t>
    </r>
  </si>
  <si>
    <r>
      <t xml:space="preserve">         …and chose whether to adjust for inflation  </t>
    </r>
    <r>
      <rPr>
        <sz val="8"/>
        <rFont val="Wingdings"/>
        <charset val="2"/>
      </rPr>
      <t>F</t>
    </r>
  </si>
  <si>
    <t>Numeric change</t>
  </si>
  <si>
    <t>Total Population 2019</t>
  </si>
  <si>
    <t>Adult pop. 2019</t>
  </si>
  <si>
    <t>Diamond Creek Hotel</t>
  </si>
  <si>
    <t>Losses 18/19 ($Million)</t>
  </si>
  <si>
    <t>Calulation of Cumulative losses to 2019</t>
  </si>
  <si>
    <t>Cumulative Losses to 2018/19</t>
  </si>
  <si>
    <t>EGMs 2019</t>
  </si>
  <si>
    <t>Venues 2019</t>
  </si>
  <si>
    <t>Ranked Venues 
2019</t>
  </si>
  <si>
    <t>Ranked EGMs: 
2019</t>
  </si>
  <si>
    <t>EGMs per 1,000 adults:
 2019</t>
  </si>
  <si>
    <t>Ranked EGMs per 1,000 adults: 2019</t>
  </si>
  <si>
    <t>Ranked Losses: 
2018/19</t>
  </si>
  <si>
    <t>Losses per adult: 2018/19</t>
  </si>
  <si>
    <t>Ranked losses per adult: 2018/19</t>
  </si>
  <si>
    <t>Per cent change in losses: 
 2017/18 to 2018/19</t>
  </si>
  <si>
    <t>Per cent change in losses adjusted for inflation: 
 2017/18 to 2018/19</t>
  </si>
  <si>
    <t>Ranked per cent change in losses:
2017/18 to 2018/19</t>
  </si>
  <si>
    <r>
      <t xml:space="preserve">Venues: 2019 </t>
    </r>
    <r>
      <rPr>
        <b/>
        <sz val="8"/>
        <color indexed="18"/>
        <rFont val="Palatino"/>
      </rPr>
      <t xml:space="preserve">[excludes venues with </t>
    </r>
    <r>
      <rPr>
        <b/>
        <u/>
        <sz val="8"/>
        <color indexed="18"/>
        <rFont val="Palatino"/>
      </rPr>
      <t>no</t>
    </r>
    <r>
      <rPr>
        <b/>
        <sz val="8"/>
        <color indexed="18"/>
        <rFont val="Palatino"/>
      </rPr>
      <t xml:space="preserve"> attached EGMs] </t>
    </r>
    <r>
      <rPr>
        <sz val="8"/>
        <color indexed="18"/>
        <rFont val="Palatino"/>
      </rPr>
      <t>(1)</t>
    </r>
  </si>
  <si>
    <t>EGMs per 1,000 Adults: 2018/2019</t>
  </si>
  <si>
    <t>EGM Gambing Losses 2018/2019</t>
  </si>
  <si>
    <r>
      <t xml:space="preserve">Losses per Adult 2018/2019 </t>
    </r>
    <r>
      <rPr>
        <sz val="8"/>
        <color indexed="18"/>
        <rFont val="Palatino"/>
      </rPr>
      <t>(3)</t>
    </r>
  </si>
  <si>
    <r>
      <t xml:space="preserve">Cumulative Losses: since 1992 </t>
    </r>
    <r>
      <rPr>
        <sz val="8"/>
        <color indexed="18"/>
        <rFont val="Palatino"/>
      </rPr>
      <t>(2019 dollars)</t>
    </r>
  </si>
  <si>
    <t>% Change in Losses in year 2018/2019</t>
  </si>
  <si>
    <t xml:space="preserve">Sources of data used here: Victorian Commission for Gambling &amp; Liquor Regulation 2019 (EGM gambling losses and EGM numbers) and the Victorian Department of Environment, Land, Water and Planning 2019 (population). </t>
  </si>
  <si>
    <r>
      <t>Updated:</t>
    </r>
    <r>
      <rPr>
        <b/>
        <sz val="8"/>
        <color theme="1"/>
        <rFont val="Palatino"/>
        <family val="1"/>
      </rPr>
      <t xml:space="preserve">  July 24, 2019</t>
    </r>
  </si>
  <si>
    <t>EGMs per 1,000 adults: 2018/19</t>
  </si>
  <si>
    <t>Per cent change in losses:  2017/18 to 2018/19</t>
  </si>
  <si>
    <t>EGM GAMBLING and YOUR COMMUNITY 2019</t>
  </si>
  <si>
    <t>Unemployment Rate March 2019</t>
  </si>
  <si>
    <t>2018/19</t>
  </si>
  <si>
    <t>(est to June '19)</t>
  </si>
  <si>
    <t>EGM GAMBLING EXPENDITURE by MUNICIPALITY AND YEAR: 
metropolitan municipalities, 1992 to 2019</t>
  </si>
  <si>
    <r>
      <t xml:space="preserve">Attached EGMs: June 2019 </t>
    </r>
    <r>
      <rPr>
        <sz val="8"/>
        <color indexed="18"/>
        <rFont val="Palatino"/>
      </rPr>
      <t>(1)</t>
    </r>
  </si>
  <si>
    <t>Losses 2018/19</t>
  </si>
  <si>
    <t>Camden Town Hotel</t>
  </si>
  <si>
    <t>Jim Dandy Hotel</t>
  </si>
  <si>
    <t>Lord Of Isles Tavern</t>
  </si>
  <si>
    <t>Change: 
2014/15 - 18/19</t>
  </si>
  <si>
    <t>(2019 dollars)</t>
  </si>
  <si>
    <t>4  Calculated using the CPI indicies for Melbourne, for 2018 and 2019</t>
  </si>
  <si>
    <t>1  From VCGLR, Gaming Expenditure by venue, featuring EGM numbers and venues as at 2019. Accessed 25 July 2019, at Source: https://www.vcglr.vic.gov.au/resources/data-and-research/gambling-data/gaming-expenditure-venue</t>
  </si>
  <si>
    <t xml:space="preserve">2  From VCGLR, Gaming Expenditure by venue, featuring EGM numbers and venues as at June 2019. </t>
  </si>
  <si>
    <t>3  Based on losses published by the VCGLR in July 2019, divided by the average of the estimated adult populations for 2018 and 2019, from Victoria in Future, published by the State Government</t>
  </si>
  <si>
    <t>CHANGE IN EGM EXPENDITURE, OVER TIME:
metropolitan municipalities</t>
  </si>
  <si>
    <t>SUBTOTALS</t>
  </si>
  <si>
    <t>Trends in Metropolitan Gaming Losses: 1992 to 2019</t>
  </si>
  <si>
    <t>Statistics about electronic gambling machines ('pokies') and gambling losses in Victorian municipalities</t>
  </si>
  <si>
    <t>East Malvern RSL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</si>
</sst>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135">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9"/>
      <name val="Times New Roman"/>
      <family val="1"/>
    </font>
    <font>
      <sz val="10"/>
      <name val="Times New Roman"/>
      <family val="1"/>
    </font>
    <font>
      <sz val="8"/>
      <name val="Times New Roman"/>
      <family val="1"/>
    </font>
    <font>
      <sz val="8"/>
      <color indexed="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b/>
      <sz val="14"/>
      <name val="Times New Roman"/>
      <family val="1"/>
    </font>
    <font>
      <b/>
      <sz val="16"/>
      <name val="Times New Roman"/>
      <family val="1"/>
    </font>
    <font>
      <sz val="10"/>
      <name val="Arial"/>
      <family val="2"/>
    </font>
    <font>
      <sz val="18"/>
      <color indexed="9"/>
      <name val="Garamond"/>
      <family val="1"/>
    </font>
    <font>
      <sz val="8"/>
      <color indexed="9"/>
      <name val="Garamond"/>
      <family val="1"/>
    </font>
    <font>
      <sz val="6.5"/>
      <color indexed="18"/>
      <name val="Palatino"/>
      <family val="1"/>
    </font>
    <font>
      <b/>
      <sz val="8"/>
      <name val="Times New Roman"/>
      <family val="1"/>
    </font>
    <font>
      <sz val="6"/>
      <name val="Times New Roman"/>
      <family val="1"/>
    </font>
    <font>
      <b/>
      <sz val="11"/>
      <color indexed="13"/>
      <name val="Garamond"/>
      <family val="1"/>
    </font>
    <font>
      <b/>
      <sz val="8"/>
      <color indexed="13"/>
      <name val="Garamond"/>
      <family val="1"/>
    </font>
    <font>
      <sz val="7"/>
      <name val="Garamond"/>
      <family val="1"/>
    </font>
    <font>
      <sz val="10"/>
      <color indexed="8"/>
      <name val="Times New Roman"/>
      <family val="1"/>
    </font>
    <font>
      <sz val="24"/>
      <color indexed="43"/>
      <name val="Times New Roman"/>
      <family val="1"/>
    </font>
    <font>
      <sz val="11"/>
      <name val="Times New Roman"/>
      <family val="1"/>
    </font>
    <font>
      <sz val="11"/>
      <name val="Arial"/>
      <family val="2"/>
    </font>
    <font>
      <sz val="12"/>
      <color indexed="8"/>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sz val="11"/>
      <color theme="0"/>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b/>
      <sz val="10"/>
      <color theme="1"/>
      <name val="Garamond"/>
      <family val="1"/>
    </font>
    <font>
      <sz val="8"/>
      <color theme="1"/>
      <name val="Garamond"/>
      <family val="1"/>
    </font>
    <font>
      <sz val="8"/>
      <color theme="5" tint="-0.499984740745262"/>
      <name val="Calibri"/>
      <family val="2"/>
    </font>
    <font>
      <sz val="8"/>
      <color theme="5" tint="-0.499984740745262"/>
      <name val="Calibri"/>
      <family val="2"/>
      <scheme val="minor"/>
    </font>
    <font>
      <sz val="8"/>
      <color theme="0"/>
      <name val="Calibri"/>
      <family val="2"/>
      <scheme val="minor"/>
    </font>
    <font>
      <sz val="12"/>
      <color theme="1"/>
      <name val="Garamond"/>
      <family val="1"/>
    </font>
    <font>
      <sz val="7"/>
      <color theme="1"/>
      <name val="Garamond"/>
      <family val="1"/>
    </font>
    <font>
      <b/>
      <sz val="9"/>
      <color theme="1"/>
      <name val="Garamond"/>
      <family val="1"/>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sz val="9"/>
      <color theme="1"/>
      <name val="Times New Roman"/>
      <family val="1"/>
    </font>
    <font>
      <b/>
      <sz val="10"/>
      <color theme="0"/>
      <name val="Times New Roman"/>
      <family val="1"/>
    </font>
    <font>
      <sz val="8"/>
      <color theme="0"/>
      <name val="Garamond"/>
      <family val="1"/>
    </font>
    <font>
      <sz val="11"/>
      <color theme="1"/>
      <name val="Garamond"/>
      <family val="1"/>
    </font>
    <font>
      <b/>
      <sz val="11"/>
      <color rgb="FFFFFF00"/>
      <name val="Garamond"/>
      <family val="1"/>
    </font>
    <font>
      <b/>
      <sz val="8"/>
      <color theme="1"/>
      <name val="Garamond"/>
      <family val="1"/>
    </font>
    <font>
      <sz val="12"/>
      <name val="Times New Roman"/>
      <family val="1"/>
    </font>
    <font>
      <b/>
      <sz val="9"/>
      <color theme="1"/>
      <name val="Times New Roman"/>
      <family val="1"/>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6"/>
      <color theme="1"/>
      <name val="Garamond"/>
      <family val="1"/>
    </font>
    <font>
      <sz val="6"/>
      <name val="Arial"/>
      <family val="2"/>
    </font>
    <font>
      <sz val="9"/>
      <color indexed="81"/>
      <name val="Tahoma"/>
      <family val="2"/>
    </font>
    <font>
      <sz val="6.5"/>
      <name val="Garamond"/>
      <family val="1"/>
    </font>
    <font>
      <b/>
      <sz val="11"/>
      <color theme="1"/>
      <name val="Calibri"/>
      <family val="2"/>
      <scheme val="minor"/>
    </font>
    <font>
      <u/>
      <sz val="10"/>
      <color theme="10"/>
      <name val="Arial"/>
      <family val="2"/>
    </font>
    <font>
      <u/>
      <sz val="11.5"/>
      <color theme="10"/>
      <name val="Arial"/>
      <family val="2"/>
    </font>
    <font>
      <b/>
      <sz val="12"/>
      <color theme="1"/>
      <name val="Calibri"/>
      <family val="2"/>
      <scheme val="minor"/>
    </font>
    <font>
      <sz val="11"/>
      <color indexed="81"/>
      <name val="Tahoma"/>
      <family val="2"/>
    </font>
    <font>
      <sz val="7"/>
      <color theme="1"/>
      <name val="Arial"/>
      <family val="2"/>
    </font>
    <font>
      <b/>
      <vertAlign val="superscript"/>
      <sz val="10"/>
      <color theme="0"/>
      <name val="Times New Roman"/>
      <family val="1"/>
    </font>
    <font>
      <sz val="6"/>
      <color theme="1"/>
      <name val="Arial"/>
      <family val="2"/>
    </font>
    <font>
      <sz val="9"/>
      <color rgb="FFFFFF00"/>
      <name val="Garamond"/>
      <family val="1"/>
    </font>
    <font>
      <sz val="8"/>
      <color rgb="FFFFFF00"/>
      <name val="Garamond"/>
      <family val="1"/>
    </font>
    <font>
      <sz val="8"/>
      <color indexed="18"/>
      <name val="Palatino"/>
    </font>
    <font>
      <sz val="10"/>
      <color rgb="FFFFFFCC"/>
      <name val="Garamond"/>
      <family val="1"/>
    </font>
    <font>
      <sz val="28"/>
      <color rgb="FFFFFFCC"/>
      <name val="Garamond"/>
      <family val="1"/>
    </font>
    <font>
      <b/>
      <sz val="12"/>
      <color rgb="FFFFFFCC"/>
      <name val="Garamond"/>
      <family val="1"/>
    </font>
    <font>
      <sz val="18"/>
      <color rgb="FFFFFFCC"/>
      <name val="Garamond"/>
      <family val="1"/>
    </font>
    <font>
      <sz val="18"/>
      <color rgb="FF008000"/>
      <name val="Garamond"/>
      <family val="1"/>
    </font>
    <font>
      <sz val="8"/>
      <color theme="0"/>
      <name val="Arial"/>
      <family val="2"/>
    </font>
    <font>
      <sz val="7.5"/>
      <color theme="0"/>
      <name val="Times New Roman"/>
      <family val="1"/>
    </font>
    <font>
      <sz val="10"/>
      <color theme="1"/>
      <name val="Arial"/>
      <family val="2"/>
    </font>
    <font>
      <sz val="7"/>
      <color theme="0"/>
      <name val="Calibri"/>
      <family val="2"/>
      <scheme val="minor"/>
    </font>
    <font>
      <sz val="6"/>
      <name val="Calibri"/>
      <family val="2"/>
      <scheme val="minor"/>
    </font>
    <font>
      <sz val="14"/>
      <name val="Calibri"/>
      <family val="2"/>
      <scheme val="minor"/>
    </font>
    <font>
      <sz val="10"/>
      <name val="Calibri"/>
      <family val="2"/>
      <scheme val="minor"/>
    </font>
    <font>
      <b/>
      <sz val="8"/>
      <name val="Calibri"/>
      <family val="2"/>
      <scheme val="minor"/>
    </font>
    <font>
      <sz val="8"/>
      <color indexed="8"/>
      <name val="Calibri"/>
      <family val="2"/>
      <scheme val="minor"/>
    </font>
    <font>
      <sz val="7"/>
      <name val="Calibri"/>
      <family val="2"/>
      <scheme val="minor"/>
    </font>
    <font>
      <sz val="18"/>
      <color rgb="FFFFFF00"/>
      <name val="Garamond"/>
      <family val="1"/>
    </font>
    <font>
      <sz val="10"/>
      <color theme="0"/>
      <name val="Calibri"/>
      <family val="2"/>
      <scheme val="minor"/>
    </font>
    <font>
      <sz val="7"/>
      <color theme="1"/>
      <name val="Calibri"/>
      <family val="2"/>
      <scheme val="minor"/>
    </font>
    <font>
      <b/>
      <sz val="9"/>
      <name val="Calibri"/>
      <family val="2"/>
      <scheme val="minor"/>
    </font>
    <font>
      <b/>
      <sz val="8"/>
      <color theme="4" tint="0.79998168889431442"/>
      <name val="Calibri"/>
      <family val="2"/>
      <scheme val="minor"/>
    </font>
    <font>
      <b/>
      <sz val="8"/>
      <color theme="3" tint="-0.499984740745262"/>
      <name val="Calibri"/>
      <family val="2"/>
      <scheme val="minor"/>
    </font>
    <font>
      <b/>
      <sz val="8"/>
      <color theme="6" tint="0.79998168889431442"/>
      <name val="Calibri"/>
      <family val="2"/>
      <scheme val="minor"/>
    </font>
    <font>
      <sz val="13.5"/>
      <color rgb="FFFFFF00"/>
      <name val="Garamond"/>
      <family val="1"/>
    </font>
    <font>
      <b/>
      <sz val="10"/>
      <name val="Calibri"/>
      <family val="2"/>
      <scheme val="minor"/>
    </font>
    <font>
      <sz val="10"/>
      <color theme="3" tint="-0.249977111117893"/>
      <name val="Calibri"/>
      <family val="2"/>
      <scheme val="minor"/>
    </font>
    <font>
      <sz val="18"/>
      <color theme="0"/>
      <name val="Garamond"/>
      <family val="1"/>
    </font>
    <font>
      <b/>
      <sz val="8"/>
      <color theme="2" tint="-0.89999084444715716"/>
      <name val="Calibri"/>
      <family val="2"/>
      <scheme val="minor"/>
    </font>
    <font>
      <sz val="6"/>
      <color theme="0"/>
      <name val="Calibri"/>
      <family val="2"/>
      <scheme val="minor"/>
    </font>
    <font>
      <sz val="8"/>
      <name val="Wingdings"/>
      <charset val="2"/>
    </font>
    <font>
      <sz val="10"/>
      <color theme="1"/>
      <name val="Calibri"/>
      <family val="2"/>
      <scheme val="minor"/>
    </font>
    <font>
      <sz val="6"/>
      <color theme="1"/>
      <name val="Calibri"/>
      <family val="2"/>
      <scheme val="minor"/>
    </font>
    <font>
      <b/>
      <sz val="9"/>
      <color theme="4" tint="0.79998168889431442"/>
      <name val="Calibri"/>
      <family val="2"/>
      <scheme val="minor"/>
    </font>
    <font>
      <b/>
      <sz val="9"/>
      <color theme="6" tint="0.79998168889431442"/>
      <name val="Calibri"/>
      <family val="2"/>
      <scheme val="minor"/>
    </font>
    <font>
      <b/>
      <sz val="8"/>
      <color theme="3" tint="-0.249977111117893"/>
      <name val="Garamond"/>
      <family val="1"/>
    </font>
  </fonts>
  <fills count="31">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26"/>
        <bgColor indexed="64"/>
      </patternFill>
    </fill>
    <fill>
      <patternFill patternType="solid">
        <fgColor indexed="18"/>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0"/>
        <bgColor indexed="64"/>
      </patternFill>
    </fill>
    <fill>
      <patternFill patternType="solid">
        <fgColor theme="2" tint="-0.749992370372631"/>
        <bgColor indexed="64"/>
      </patternFill>
    </fill>
    <fill>
      <patternFill patternType="solid">
        <fgColor rgb="FFFFFF99"/>
        <bgColor indexed="64"/>
      </patternFill>
    </fill>
    <fill>
      <patternFill patternType="solid">
        <fgColor theme="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8000"/>
        <bgColor indexed="64"/>
      </patternFill>
    </fill>
    <fill>
      <patternFill patternType="solid">
        <fgColor rgb="FF006600"/>
        <bgColor indexed="64"/>
      </patternFill>
    </fill>
    <fill>
      <patternFill patternType="solid">
        <fgColor theme="3" tint="-0.499984740745262"/>
        <bgColor indexed="64"/>
      </patternFill>
    </fill>
    <fill>
      <patternFill patternType="solid">
        <fgColor theme="6" tint="0.59999389629810485"/>
        <bgColor indexed="64"/>
      </patternFill>
    </fill>
  </fills>
  <borders count="37">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bottom style="thin">
        <color theme="2" tint="-0.749961851863155"/>
      </bottom>
      <diagonal/>
    </border>
    <border>
      <left/>
      <right/>
      <top/>
      <bottom style="thin">
        <color theme="3" tint="-0.24994659260841701"/>
      </bottom>
      <diagonal/>
    </border>
    <border>
      <left/>
      <right/>
      <top style="thin">
        <color rgb="FF008000"/>
      </top>
      <bottom/>
      <diagonal/>
    </border>
    <border>
      <left/>
      <right/>
      <top/>
      <bottom style="thin">
        <color rgb="FF008000"/>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style="thin">
        <color auto="1"/>
      </left>
      <right/>
      <top style="thin">
        <color auto="1"/>
      </top>
      <bottom/>
      <diagonal/>
    </border>
    <border>
      <left/>
      <right style="thick">
        <color auto="1"/>
      </right>
      <top style="thin">
        <color auto="1"/>
      </top>
      <bottom/>
      <diagonal/>
    </border>
    <border>
      <left style="thin">
        <color auto="1"/>
      </left>
      <right/>
      <top/>
      <bottom style="thick">
        <color auto="1"/>
      </bottom>
      <diagonal/>
    </border>
    <border>
      <left/>
      <right style="thick">
        <color auto="1"/>
      </right>
      <top/>
      <bottom style="thick">
        <color auto="1"/>
      </bottom>
      <diagonal/>
    </border>
    <border>
      <left/>
      <right/>
      <top style="hair">
        <color auto="1"/>
      </top>
      <bottom style="hair">
        <color auto="1"/>
      </bottom>
      <diagonal/>
    </border>
    <border>
      <left/>
      <right/>
      <top style="hair">
        <color indexed="18"/>
      </top>
      <bottom style="double">
        <color theme="1"/>
      </bottom>
      <diagonal/>
    </border>
    <border>
      <left style="thin">
        <color rgb="FFFFFF00"/>
      </left>
      <right/>
      <top style="thin">
        <color rgb="FFFFFF00"/>
      </top>
      <bottom/>
      <diagonal/>
    </border>
    <border>
      <left/>
      <right/>
      <top style="thin">
        <color rgb="FFFFFF00"/>
      </top>
      <bottom/>
      <diagonal/>
    </border>
    <border>
      <left/>
      <right style="thin">
        <color rgb="FFFFFF00"/>
      </right>
      <top style="thin">
        <color rgb="FFFFFF00"/>
      </top>
      <bottom/>
      <diagonal/>
    </border>
    <border>
      <left style="thin">
        <color rgb="FFFFFF00"/>
      </left>
      <right/>
      <top/>
      <bottom/>
      <diagonal/>
    </border>
    <border>
      <left/>
      <right style="thin">
        <color rgb="FFFFFF00"/>
      </right>
      <top style="thin">
        <color indexed="64"/>
      </top>
      <bottom style="thin">
        <color indexed="64"/>
      </bottom>
      <diagonal/>
    </border>
    <border>
      <left/>
      <right style="thin">
        <color rgb="FFFFFF00"/>
      </right>
      <top/>
      <bottom/>
      <diagonal/>
    </border>
    <border>
      <left/>
      <right/>
      <top style="thin">
        <color rgb="FF006600"/>
      </top>
      <bottom/>
      <diagonal/>
    </border>
    <border>
      <left/>
      <right/>
      <top style="hair">
        <color theme="2" tint="-0.749961851863155"/>
      </top>
      <bottom style="hair">
        <color theme="2" tint="-0.749961851863155"/>
      </bottom>
      <diagonal/>
    </border>
    <border>
      <left/>
      <right/>
      <top style="hair">
        <color indexed="64"/>
      </top>
      <bottom/>
      <diagonal/>
    </border>
  </borders>
  <cellStyleXfs count="16">
    <xf numFmtId="0" fontId="0" fillId="0" borderId="0"/>
    <xf numFmtId="43" fontId="4" fillId="0" borderId="0" applyFont="0" applyFill="0" applyBorder="0" applyAlignment="0" applyProtection="0"/>
    <xf numFmtId="0" fontId="41" fillId="0" borderId="0" applyNumberFormat="0" applyFill="0" applyBorder="0" applyAlignment="0" applyProtection="0">
      <alignment vertical="top"/>
      <protection locked="0"/>
    </xf>
    <xf numFmtId="0" fontId="39" fillId="0" borderId="0"/>
    <xf numFmtId="0" fontId="22" fillId="0" borderId="0"/>
    <xf numFmtId="0" fontId="5" fillId="0" borderId="0"/>
    <xf numFmtId="0" fontId="22" fillId="2" borderId="1">
      <alignment vertical="center"/>
      <protection locked="0"/>
    </xf>
    <xf numFmtId="0" fontId="91" fillId="0" borderId="0" applyNumberFormat="0" applyFill="0" applyBorder="0" applyAlignment="0" applyProtection="0"/>
    <xf numFmtId="0" fontId="4" fillId="0" borderId="0"/>
    <xf numFmtId="0" fontId="92"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cellStyleXfs>
  <cellXfs count="436">
    <xf numFmtId="0" fontId="0" fillId="0" borderId="0" xfId="0"/>
    <xf numFmtId="0" fontId="14" fillId="0" borderId="2" xfId="0" applyFont="1" applyFill="1" applyBorder="1" applyAlignment="1" applyProtection="1">
      <alignment horizontal="left" vertical="center"/>
      <protection hidden="1"/>
    </xf>
    <xf numFmtId="164" fontId="14" fillId="0" borderId="3" xfId="0" applyNumberFormat="1" applyFont="1" applyFill="1" applyBorder="1" applyAlignment="1" applyProtection="1">
      <alignment horizontal="left" vertical="center"/>
      <protection hidden="1"/>
    </xf>
    <xf numFmtId="0" fontId="18" fillId="0" borderId="4" xfId="0" applyFont="1" applyFill="1" applyBorder="1" applyAlignment="1" applyProtection="1">
      <alignment horizontal="right" vertical="center"/>
      <protection hidden="1"/>
    </xf>
    <xf numFmtId="0" fontId="17" fillId="0" borderId="3" xfId="0" applyFont="1" applyFill="1" applyBorder="1" applyAlignment="1" applyProtection="1">
      <alignment horizontal="right" vertical="center" indent="1"/>
      <protection hidden="1"/>
    </xf>
    <xf numFmtId="0" fontId="7" fillId="0" borderId="0" xfId="0" applyFont="1" applyAlignment="1" applyProtection="1">
      <alignment vertical="center"/>
      <protection hidden="1"/>
    </xf>
    <xf numFmtId="0" fontId="10" fillId="0" borderId="0" xfId="0" applyFont="1" applyAlignment="1" applyProtection="1">
      <alignment horizontal="center" vertical="center"/>
      <protection locked="0" hidden="1"/>
    </xf>
    <xf numFmtId="8" fontId="7" fillId="0" borderId="0" xfId="0" applyNumberFormat="1" applyFont="1" applyAlignment="1" applyProtection="1">
      <alignment vertical="center"/>
      <protection hidden="1"/>
    </xf>
    <xf numFmtId="4" fontId="7" fillId="0" borderId="0" xfId="0" applyNumberFormat="1" applyFont="1" applyAlignment="1" applyProtection="1">
      <alignment vertical="center"/>
      <protection hidden="1"/>
    </xf>
    <xf numFmtId="3" fontId="8" fillId="0" borderId="5" xfId="0" applyNumberFormat="1" applyFont="1" applyFill="1" applyBorder="1" applyAlignment="1" applyProtection="1">
      <alignment vertical="center"/>
      <protection hidden="1"/>
    </xf>
    <xf numFmtId="0" fontId="8" fillId="0" borderId="5" xfId="5" applyFont="1" applyFill="1" applyBorder="1" applyAlignment="1">
      <alignment vertical="center"/>
    </xf>
    <xf numFmtId="0" fontId="8" fillId="0" borderId="5" xfId="0" applyFont="1" applyFill="1" applyBorder="1" applyAlignment="1">
      <alignment vertical="center"/>
    </xf>
    <xf numFmtId="3" fontId="6" fillId="0" borderId="5" xfId="0" applyNumberFormat="1" applyFont="1" applyFill="1" applyBorder="1" applyAlignment="1" applyProtection="1">
      <alignment horizontal="left" vertical="center"/>
    </xf>
    <xf numFmtId="0" fontId="14" fillId="0" borderId="4" xfId="0" applyFont="1" applyFill="1" applyBorder="1" applyAlignment="1" applyProtection="1">
      <alignment horizontal="left" vertical="center"/>
      <protection hidden="1"/>
    </xf>
    <xf numFmtId="0" fontId="14" fillId="0" borderId="3" xfId="0" applyFont="1" applyFill="1" applyBorder="1" applyAlignment="1" applyProtection="1">
      <alignment horizontal="left" vertical="center"/>
      <protection hidden="1"/>
    </xf>
    <xf numFmtId="3" fontId="14" fillId="0" borderId="4" xfId="0" applyNumberFormat="1" applyFont="1" applyFill="1" applyBorder="1" applyAlignment="1" applyProtection="1">
      <alignment horizontal="right" vertical="center"/>
      <protection hidden="1"/>
    </xf>
    <xf numFmtId="0" fontId="8" fillId="0" borderId="0" xfId="0" applyFont="1" applyFill="1" applyProtection="1">
      <protection hidden="1"/>
    </xf>
    <xf numFmtId="0" fontId="8" fillId="0" borderId="0" xfId="0" applyFont="1" applyProtection="1">
      <protection hidden="1"/>
    </xf>
    <xf numFmtId="0" fontId="11" fillId="0" borderId="5" xfId="0" applyFont="1" applyFill="1" applyBorder="1" applyAlignment="1" applyProtection="1">
      <alignment horizontal="center" vertical="center" wrapText="1"/>
      <protection hidden="1"/>
    </xf>
    <xf numFmtId="3" fontId="8" fillId="3" borderId="5" xfId="5" applyNumberFormat="1" applyFont="1" applyFill="1" applyBorder="1" applyAlignment="1" applyProtection="1">
      <protection hidden="1"/>
    </xf>
    <xf numFmtId="3" fontId="12" fillId="0" borderId="5" xfId="0" applyNumberFormat="1" applyFont="1" applyFill="1" applyBorder="1" applyAlignment="1" applyProtection="1">
      <alignment horizontal="right"/>
      <protection hidden="1"/>
    </xf>
    <xf numFmtId="3" fontId="12" fillId="0" borderId="5" xfId="0" applyNumberFormat="1" applyFont="1" applyFill="1" applyBorder="1" applyAlignment="1" applyProtection="1">
      <alignment horizontal="left"/>
      <protection hidden="1"/>
    </xf>
    <xf numFmtId="0" fontId="8" fillId="0" borderId="5" xfId="0" applyFont="1" applyFill="1" applyBorder="1" applyProtection="1">
      <protection hidden="1"/>
    </xf>
    <xf numFmtId="0" fontId="7" fillId="0" borderId="0" xfId="0" applyFont="1"/>
    <xf numFmtId="0" fontId="20" fillId="0" borderId="0" xfId="0" applyFont="1"/>
    <xf numFmtId="0" fontId="7" fillId="0" borderId="0" xfId="0" applyFont="1" applyBorder="1" applyAlignment="1">
      <alignment horizontal="center"/>
    </xf>
    <xf numFmtId="0" fontId="20" fillId="0" borderId="0" xfId="0" applyFont="1" applyBorder="1" applyAlignment="1">
      <alignment horizontal="center"/>
    </xf>
    <xf numFmtId="3" fontId="19" fillId="0" borderId="0" xfId="0" applyNumberFormat="1" applyFont="1" applyBorder="1" applyAlignment="1" applyProtection="1">
      <alignment horizontal="center" vertical="center"/>
      <protection hidden="1"/>
    </xf>
    <xf numFmtId="0" fontId="42" fillId="0" borderId="0" xfId="0" applyFont="1" applyAlignment="1" applyProtection="1">
      <alignment vertical="center"/>
      <protection hidden="1"/>
    </xf>
    <xf numFmtId="4" fontId="42" fillId="0" borderId="0" xfId="0" applyNumberFormat="1" applyFont="1" applyAlignment="1" applyProtection="1">
      <alignment vertical="center"/>
      <protection hidden="1"/>
    </xf>
    <xf numFmtId="8" fontId="42" fillId="0" borderId="0" xfId="0" applyNumberFormat="1" applyFont="1" applyAlignment="1" applyProtection="1">
      <alignment vertical="center"/>
      <protection hidden="1"/>
    </xf>
    <xf numFmtId="0" fontId="44" fillId="0" borderId="0" xfId="0" applyFont="1" applyAlignment="1" applyProtection="1">
      <alignment vertical="center"/>
      <protection hidden="1"/>
    </xf>
    <xf numFmtId="0" fontId="45" fillId="0" borderId="0" xfId="0" applyFont="1" applyAlignment="1" applyProtection="1">
      <alignment horizontal="center" vertical="center"/>
      <protection hidden="1"/>
    </xf>
    <xf numFmtId="0" fontId="46" fillId="0" borderId="0" xfId="0" applyFont="1" applyAlignment="1" applyProtection="1">
      <alignment vertical="center"/>
      <protection hidden="1"/>
    </xf>
    <xf numFmtId="164" fontId="45" fillId="0" borderId="0" xfId="0" applyNumberFormat="1" applyFont="1" applyAlignment="1" applyProtection="1">
      <alignment horizontal="center" vertical="center"/>
      <protection hidden="1"/>
    </xf>
    <xf numFmtId="4" fontId="44" fillId="0" borderId="0" xfId="0" applyNumberFormat="1" applyFont="1" applyAlignment="1" applyProtection="1">
      <alignment vertical="center"/>
      <protection hidden="1"/>
    </xf>
    <xf numFmtId="0" fontId="47" fillId="0" borderId="0" xfId="0" applyFont="1" applyAlignment="1" applyProtection="1">
      <alignment horizontal="center" vertical="center"/>
      <protection hidden="1"/>
    </xf>
    <xf numFmtId="0" fontId="48" fillId="0" borderId="0" xfId="0" applyFont="1" applyAlignment="1" applyProtection="1">
      <alignment horizontal="center" vertical="center"/>
      <protection hidden="1"/>
    </xf>
    <xf numFmtId="0" fontId="47" fillId="0" borderId="0" xfId="0" applyFont="1" applyAlignment="1" applyProtection="1">
      <alignment vertical="center"/>
      <protection hidden="1"/>
    </xf>
    <xf numFmtId="0" fontId="49" fillId="0" borderId="0" xfId="3" applyFont="1" applyAlignment="1"/>
    <xf numFmtId="0" fontId="50" fillId="0" borderId="0" xfId="3" applyFont="1" applyAlignment="1">
      <alignment horizontal="center"/>
    </xf>
    <xf numFmtId="0" fontId="51" fillId="8" borderId="0" xfId="3" applyFont="1" applyFill="1" applyAlignment="1">
      <alignment horizontal="right"/>
    </xf>
    <xf numFmtId="0" fontId="51" fillId="8" borderId="0" xfId="3" applyFont="1" applyFill="1" applyAlignment="1">
      <alignment horizontal="center"/>
    </xf>
    <xf numFmtId="3" fontId="51" fillId="9" borderId="0" xfId="3" applyNumberFormat="1" applyFont="1" applyFill="1" applyAlignment="1">
      <alignment horizontal="center"/>
    </xf>
    <xf numFmtId="3" fontId="51" fillId="10" borderId="0" xfId="3" applyNumberFormat="1" applyFont="1" applyFill="1" applyAlignment="1">
      <alignment horizontal="center"/>
    </xf>
    <xf numFmtId="0" fontId="52" fillId="11" borderId="0" xfId="3" applyFont="1" applyFill="1" applyAlignment="1">
      <alignment horizontal="center" vertical="top" wrapText="1"/>
    </xf>
    <xf numFmtId="0" fontId="53" fillId="0" borderId="5" xfId="2" applyFont="1" applyBorder="1" applyAlignment="1" applyProtection="1">
      <alignment vertical="center" wrapText="1"/>
    </xf>
    <xf numFmtId="0" fontId="49" fillId="0" borderId="5" xfId="3" applyFont="1" applyBorder="1" applyAlignment="1">
      <alignment vertical="center" wrapText="1"/>
    </xf>
    <xf numFmtId="0" fontId="49" fillId="0" borderId="5" xfId="3" applyFont="1" applyBorder="1" applyAlignment="1">
      <alignment horizontal="center" vertical="center" wrapText="1"/>
    </xf>
    <xf numFmtId="166" fontId="49" fillId="0" borderId="5" xfId="3" applyNumberFormat="1" applyFont="1" applyBorder="1" applyAlignment="1">
      <alignment horizontal="right" vertical="center" wrapText="1"/>
    </xf>
    <xf numFmtId="0" fontId="49" fillId="11" borderId="5" xfId="3" applyFont="1" applyFill="1" applyBorder="1" applyAlignment="1">
      <alignment vertical="center" wrapText="1"/>
    </xf>
    <xf numFmtId="0" fontId="54" fillId="0" borderId="0" xfId="3" applyFont="1" applyAlignment="1"/>
    <xf numFmtId="0" fontId="49" fillId="0" borderId="0" xfId="3" applyFont="1" applyAlignment="1">
      <alignment horizontal="center"/>
    </xf>
    <xf numFmtId="0" fontId="55" fillId="0" borderId="0" xfId="3" applyFont="1" applyBorder="1" applyAlignment="1"/>
    <xf numFmtId="0" fontId="40" fillId="0" borderId="0" xfId="3" applyFont="1" applyBorder="1" applyAlignment="1"/>
    <xf numFmtId="3" fontId="46" fillId="0" borderId="0" xfId="3" applyNumberFormat="1" applyFont="1" applyFill="1" applyBorder="1" applyAlignment="1" applyProtection="1">
      <alignment vertical="center"/>
      <protection hidden="1"/>
    </xf>
    <xf numFmtId="0" fontId="56" fillId="11" borderId="0" xfId="3" applyFont="1" applyFill="1" applyAlignment="1">
      <alignment horizontal="left" vertical="top" wrapText="1"/>
    </xf>
    <xf numFmtId="0" fontId="57" fillId="11" borderId="0" xfId="3" applyFont="1" applyFill="1" applyAlignment="1">
      <alignment horizontal="center" vertical="top" wrapText="1"/>
    </xf>
    <xf numFmtId="0" fontId="25" fillId="0" borderId="4" xfId="0" applyFont="1" applyFill="1" applyBorder="1" applyAlignment="1" applyProtection="1">
      <alignment horizontal="right" vertical="center" wrapText="1"/>
      <protection hidden="1"/>
    </xf>
    <xf numFmtId="0" fontId="44" fillId="0" borderId="0" xfId="0" applyFont="1" applyBorder="1" applyAlignment="1" applyProtection="1">
      <alignment vertical="center"/>
      <protection hidden="1"/>
    </xf>
    <xf numFmtId="166" fontId="58" fillId="10" borderId="0" xfId="3" applyNumberFormat="1" applyFont="1" applyFill="1" applyAlignment="1">
      <alignment horizontal="center"/>
    </xf>
    <xf numFmtId="0" fontId="26" fillId="0" borderId="0" xfId="0" applyFont="1"/>
    <xf numFmtId="0" fontId="49" fillId="0" borderId="0" xfId="3" applyFont="1" applyBorder="1" applyAlignment="1"/>
    <xf numFmtId="0" fontId="50" fillId="0" borderId="0" xfId="3" applyFont="1" applyBorder="1" applyAlignment="1">
      <alignment horizontal="center"/>
    </xf>
    <xf numFmtId="0" fontId="9" fillId="12" borderId="5" xfId="0" applyFont="1" applyFill="1" applyBorder="1" applyAlignment="1">
      <alignment horizontal="center" vertical="center" wrapText="1"/>
    </xf>
    <xf numFmtId="0" fontId="55" fillId="0" borderId="0" xfId="3" applyFont="1" applyAlignment="1"/>
    <xf numFmtId="0" fontId="40" fillId="0" borderId="0" xfId="3" applyFont="1" applyAlignment="1"/>
    <xf numFmtId="3" fontId="14" fillId="0" borderId="3" xfId="0" applyNumberFormat="1" applyFont="1" applyFill="1" applyBorder="1" applyAlignment="1" applyProtection="1">
      <alignment horizontal="right" vertical="center"/>
      <protection hidden="1"/>
    </xf>
    <xf numFmtId="164" fontId="14" fillId="0" borderId="2" xfId="0" applyNumberFormat="1" applyFont="1" applyFill="1" applyBorder="1" applyAlignment="1" applyProtection="1">
      <alignment horizontal="left" vertical="center"/>
      <protection hidden="1"/>
    </xf>
    <xf numFmtId="0" fontId="17" fillId="0" borderId="2" xfId="0" applyFont="1" applyFill="1" applyBorder="1" applyAlignment="1" applyProtection="1">
      <alignment horizontal="right" vertical="center" indent="1"/>
      <protection hidden="1"/>
    </xf>
    <xf numFmtId="0" fontId="14" fillId="0" borderId="8" xfId="0" applyFont="1" applyFill="1" applyBorder="1" applyAlignment="1" applyProtection="1">
      <alignment horizontal="left" vertical="center"/>
      <protection hidden="1"/>
    </xf>
    <xf numFmtId="164" fontId="14" fillId="0" borderId="8" xfId="0" applyNumberFormat="1" applyFont="1" applyFill="1" applyBorder="1" applyAlignment="1" applyProtection="1">
      <alignment horizontal="left" vertical="center"/>
      <protection hidden="1"/>
    </xf>
    <xf numFmtId="0" fontId="39" fillId="0" borderId="0" xfId="3" applyFont="1" applyBorder="1" applyAlignment="1"/>
    <xf numFmtId="0" fontId="39" fillId="0" borderId="0" xfId="3" applyFont="1" applyAlignment="1"/>
    <xf numFmtId="0" fontId="59" fillId="0" borderId="0" xfId="0" applyFont="1"/>
    <xf numFmtId="0" fontId="0" fillId="0" borderId="0" xfId="0" applyAlignment="1">
      <alignment horizontal="left"/>
    </xf>
    <xf numFmtId="0" fontId="60" fillId="0" borderId="0" xfId="0" applyFont="1"/>
    <xf numFmtId="0" fontId="61" fillId="0" borderId="0" xfId="0" applyFont="1"/>
    <xf numFmtId="0" fontId="9" fillId="13" borderId="5" xfId="0" applyFont="1" applyFill="1" applyBorder="1" applyAlignment="1">
      <alignment horizontal="center" vertical="center" wrapText="1"/>
    </xf>
    <xf numFmtId="0" fontId="59" fillId="0" borderId="0" xfId="0" applyFont="1" applyBorder="1"/>
    <xf numFmtId="0" fontId="60" fillId="0" borderId="0" xfId="0" applyFont="1" applyAlignment="1" applyProtection="1">
      <alignment horizontal="center"/>
      <protection locked="0"/>
    </xf>
    <xf numFmtId="0" fontId="61" fillId="0" borderId="0" xfId="0" applyFont="1" applyAlignment="1">
      <alignment horizontal="left"/>
    </xf>
    <xf numFmtId="0" fontId="42" fillId="0" borderId="0" xfId="0" applyFont="1" applyBorder="1" applyAlignment="1" applyProtection="1">
      <alignment vertical="center"/>
      <protection hidden="1"/>
    </xf>
    <xf numFmtId="0" fontId="47" fillId="0" borderId="0" xfId="0" applyFont="1" applyBorder="1" applyAlignment="1" applyProtection="1">
      <alignment vertical="center"/>
      <protection hidden="1"/>
    </xf>
    <xf numFmtId="0" fontId="7" fillId="0" borderId="0" xfId="0" applyFont="1" applyAlignment="1">
      <alignment horizontal="center"/>
    </xf>
    <xf numFmtId="0" fontId="26" fillId="0" borderId="0" xfId="0" applyFont="1" applyAlignment="1">
      <alignment horizontal="center"/>
    </xf>
    <xf numFmtId="3" fontId="7" fillId="0" borderId="0" xfId="0" applyNumberFormat="1" applyFont="1" applyAlignment="1">
      <alignment horizontal="center"/>
    </xf>
    <xf numFmtId="0" fontId="22" fillId="0" borderId="0" xfId="0" applyFont="1" applyAlignment="1">
      <alignment horizontal="center"/>
    </xf>
    <xf numFmtId="3" fontId="8" fillId="0" borderId="5" xfId="0" applyNumberFormat="1" applyFont="1" applyFill="1" applyBorder="1" applyAlignment="1" applyProtection="1">
      <alignment horizontal="center" vertical="center"/>
      <protection hidden="1"/>
    </xf>
    <xf numFmtId="3" fontId="8" fillId="0" borderId="5" xfId="5" applyNumberFormat="1" applyFont="1" applyFill="1" applyBorder="1" applyAlignment="1">
      <alignment horizontal="center" vertical="center"/>
    </xf>
    <xf numFmtId="0" fontId="62" fillId="0" borderId="0" xfId="0" applyFont="1" applyAlignment="1" applyProtection="1">
      <alignment horizontal="center"/>
      <protection hidden="1"/>
    </xf>
    <xf numFmtId="0" fontId="63" fillId="0" borderId="0" xfId="0" applyFont="1" applyAlignment="1" applyProtection="1">
      <alignment horizontal="center"/>
      <protection hidden="1"/>
    </xf>
    <xf numFmtId="0" fontId="63" fillId="0" borderId="0" xfId="0" applyFont="1" applyFill="1" applyAlignment="1" applyProtection="1">
      <alignment horizontal="center"/>
      <protection hidden="1"/>
    </xf>
    <xf numFmtId="0" fontId="57" fillId="0" borderId="0" xfId="0" applyFont="1"/>
    <xf numFmtId="0" fontId="57" fillId="0" borderId="0" xfId="0" applyFont="1" applyAlignment="1">
      <alignment horizontal="center"/>
    </xf>
    <xf numFmtId="0" fontId="57" fillId="0" borderId="0" xfId="0" applyFont="1" applyProtection="1">
      <protection hidden="1"/>
    </xf>
    <xf numFmtId="0" fontId="57" fillId="0" borderId="0" xfId="0" applyFont="1" applyAlignment="1" applyProtection="1">
      <alignment horizontal="center"/>
      <protection hidden="1"/>
    </xf>
    <xf numFmtId="166" fontId="57" fillId="13" borderId="0" xfId="0" applyNumberFormat="1" applyFont="1" applyFill="1" applyAlignment="1" applyProtection="1">
      <alignment horizontal="center"/>
      <protection hidden="1"/>
    </xf>
    <xf numFmtId="0" fontId="57" fillId="13" borderId="0" xfId="0" applyFont="1" applyFill="1" applyProtection="1">
      <protection hidden="1"/>
    </xf>
    <xf numFmtId="0" fontId="49" fillId="0" borderId="5" xfId="0" applyFont="1" applyBorder="1" applyAlignment="1">
      <alignment vertical="center"/>
    </xf>
    <xf numFmtId="0" fontId="64" fillId="0" borderId="0" xfId="0" applyFont="1" applyFill="1" applyAlignment="1">
      <alignment horizontal="left" vertical="center"/>
    </xf>
    <xf numFmtId="0" fontId="64" fillId="0" borderId="5" xfId="0" applyFont="1" applyFill="1" applyBorder="1" applyAlignment="1">
      <alignment horizontal="left" vertical="center"/>
    </xf>
    <xf numFmtId="0" fontId="65" fillId="0" borderId="0" xfId="0" applyFont="1" applyAlignment="1">
      <alignment vertical="center"/>
    </xf>
    <xf numFmtId="0" fontId="0" fillId="0" borderId="0" xfId="0" applyFont="1" applyAlignment="1">
      <alignment vertical="center"/>
    </xf>
    <xf numFmtId="0" fontId="0" fillId="0" borderId="0" xfId="0" applyFont="1" applyAlignment="1">
      <alignment horizontal="left" vertical="center"/>
    </xf>
    <xf numFmtId="0" fontId="49" fillId="0" borderId="0" xfId="0" applyFont="1" applyAlignment="1">
      <alignment horizontal="center" vertical="center"/>
    </xf>
    <xf numFmtId="0" fontId="0" fillId="0" borderId="0" xfId="0" applyAlignment="1">
      <alignment horizontal="left" vertical="center"/>
    </xf>
    <xf numFmtId="0" fontId="66" fillId="0" borderId="0" xfId="0" applyFont="1" applyAlignment="1">
      <alignment vertical="center"/>
    </xf>
    <xf numFmtId="0" fontId="49" fillId="0" borderId="0" xfId="0" applyFont="1" applyAlignment="1">
      <alignment vertical="center"/>
    </xf>
    <xf numFmtId="0" fontId="64" fillId="16" borderId="9" xfId="0" applyFont="1" applyFill="1" applyBorder="1" applyAlignment="1">
      <alignment horizontal="left" vertical="center" wrapText="1"/>
    </xf>
    <xf numFmtId="0" fontId="64" fillId="16" borderId="9" xfId="0" applyFont="1" applyFill="1" applyBorder="1" applyAlignment="1">
      <alignment horizontal="center" vertical="center" wrapText="1"/>
    </xf>
    <xf numFmtId="0" fontId="49" fillId="16" borderId="9" xfId="0" applyFont="1" applyFill="1" applyBorder="1" applyAlignment="1">
      <alignment horizontal="center" vertical="center" wrapText="1"/>
    </xf>
    <xf numFmtId="0" fontId="64" fillId="0" borderId="0" xfId="0" applyFont="1" applyAlignment="1">
      <alignment horizontal="center" vertical="center"/>
    </xf>
    <xf numFmtId="0" fontId="64" fillId="0" borderId="0" xfId="0" applyFont="1" applyAlignment="1">
      <alignment horizontal="left" vertical="center"/>
    </xf>
    <xf numFmtId="3" fontId="8" fillId="3" borderId="5" xfId="0" applyNumberFormat="1" applyFont="1" applyFill="1" applyBorder="1" applyAlignment="1" applyProtection="1">
      <alignment vertical="center"/>
      <protection hidden="1"/>
    </xf>
    <xf numFmtId="0" fontId="64" fillId="0" borderId="5" xfId="0" applyFont="1" applyBorder="1" applyAlignment="1">
      <alignment horizontal="center" vertical="center"/>
    </xf>
    <xf numFmtId="0" fontId="64" fillId="0" borderId="5" xfId="0" applyFont="1" applyBorder="1" applyAlignment="1">
      <alignment horizontal="left" vertical="center"/>
    </xf>
    <xf numFmtId="3" fontId="8" fillId="17" borderId="5" xfId="0" applyNumberFormat="1" applyFont="1" applyFill="1" applyBorder="1" applyAlignment="1" applyProtection="1">
      <alignment vertical="center"/>
      <protection hidden="1"/>
    </xf>
    <xf numFmtId="0" fontId="67" fillId="0" borderId="0" xfId="0" applyFont="1" applyFill="1" applyAlignment="1">
      <alignment horizontal="left" vertical="center"/>
    </xf>
    <xf numFmtId="0" fontId="67" fillId="0" borderId="0" xfId="0" applyFont="1" applyFill="1" applyAlignment="1">
      <alignment horizontal="center" vertical="center"/>
    </xf>
    <xf numFmtId="0" fontId="7" fillId="0" borderId="0" xfId="4" applyFont="1"/>
    <xf numFmtId="0" fontId="7" fillId="0" borderId="0" xfId="4" applyFont="1" applyAlignment="1">
      <alignment horizontal="center" vertical="center" wrapText="1"/>
    </xf>
    <xf numFmtId="0" fontId="22" fillId="0" borderId="0" xfId="4"/>
    <xf numFmtId="0" fontId="7" fillId="0" borderId="0" xfId="4" applyFont="1" applyAlignment="1">
      <alignment horizontal="center"/>
    </xf>
    <xf numFmtId="0" fontId="33" fillId="0" borderId="9" xfId="4" applyFont="1" applyBorder="1" applyAlignment="1">
      <alignment horizontal="center" wrapText="1"/>
    </xf>
    <xf numFmtId="0" fontId="33" fillId="0" borderId="0" xfId="4" applyFont="1" applyBorder="1" applyAlignment="1">
      <alignment horizontal="center" vertical="center" wrapText="1"/>
    </xf>
    <xf numFmtId="0" fontId="34" fillId="0" borderId="0" xfId="4" applyFont="1" applyAlignment="1">
      <alignment horizontal="center" vertical="center" wrapText="1"/>
    </xf>
    <xf numFmtId="0" fontId="33" fillId="0" borderId="0" xfId="4" applyFont="1" applyBorder="1" applyAlignment="1">
      <alignment horizontal="center" wrapText="1"/>
    </xf>
    <xf numFmtId="0" fontId="6" fillId="0" borderId="0" xfId="4" applyFont="1" applyAlignment="1">
      <alignment horizontal="center"/>
    </xf>
    <xf numFmtId="0" fontId="31" fillId="6" borderId="1" xfId="4" applyFont="1" applyFill="1" applyBorder="1" applyAlignment="1">
      <alignment horizontal="left" vertical="center" wrapText="1"/>
    </xf>
    <xf numFmtId="0" fontId="35" fillId="6" borderId="1" xfId="4" applyFont="1" applyFill="1" applyBorder="1" applyAlignment="1">
      <alignment horizontal="center" vertical="center" wrapText="1"/>
    </xf>
    <xf numFmtId="0" fontId="7" fillId="0" borderId="0" xfId="4" applyFont="1" applyBorder="1" applyAlignment="1">
      <alignment horizontal="center"/>
    </xf>
    <xf numFmtId="0" fontId="7" fillId="0" borderId="0" xfId="4" applyFont="1" applyBorder="1"/>
    <xf numFmtId="164" fontId="36" fillId="0" borderId="6" xfId="4" applyNumberFormat="1" applyFont="1" applyFill="1" applyBorder="1" applyAlignment="1" applyProtection="1">
      <alignment horizontal="left" vertical="center" wrapText="1"/>
      <protection hidden="1"/>
    </xf>
    <xf numFmtId="0" fontId="33" fillId="0" borderId="0" xfId="4" applyFont="1" applyAlignment="1">
      <alignment horizontal="center"/>
    </xf>
    <xf numFmtId="0" fontId="33" fillId="0" borderId="0" xfId="4" applyFont="1"/>
    <xf numFmtId="1" fontId="33" fillId="0" borderId="0" xfId="4" applyNumberFormat="1" applyFont="1" applyAlignment="1">
      <alignment horizontal="center"/>
    </xf>
    <xf numFmtId="1" fontId="33" fillId="0" borderId="0" xfId="4" applyNumberFormat="1" applyFont="1"/>
    <xf numFmtId="1" fontId="7" fillId="0" borderId="0" xfId="4" applyNumberFormat="1" applyFont="1"/>
    <xf numFmtId="0" fontId="7" fillId="0" borderId="0" xfId="4" applyFont="1" applyAlignment="1">
      <alignment horizontal="left" vertical="center" wrapText="1"/>
    </xf>
    <xf numFmtId="0" fontId="42" fillId="0" borderId="0" xfId="4" applyFont="1" applyFill="1" applyAlignment="1" applyProtection="1">
      <alignment vertical="center"/>
      <protection hidden="1"/>
    </xf>
    <xf numFmtId="164" fontId="42" fillId="0" borderId="0" xfId="4" applyNumberFormat="1" applyFont="1" applyFill="1" applyAlignment="1" applyProtection="1">
      <alignment horizontal="center" vertical="center"/>
      <protection hidden="1"/>
    </xf>
    <xf numFmtId="0" fontId="42" fillId="0" borderId="0" xfId="4" applyFont="1" applyAlignment="1" applyProtection="1">
      <alignment vertical="center"/>
      <protection hidden="1"/>
    </xf>
    <xf numFmtId="0" fontId="45" fillId="0" borderId="0" xfId="4" applyFont="1" applyFill="1" applyAlignment="1" applyProtection="1">
      <alignment vertical="center"/>
      <protection hidden="1"/>
    </xf>
    <xf numFmtId="164" fontId="68" fillId="0" borderId="0" xfId="4" applyNumberFormat="1" applyFont="1" applyFill="1" applyAlignment="1" applyProtection="1">
      <alignment horizontal="center" vertical="center"/>
      <protection hidden="1"/>
    </xf>
    <xf numFmtId="0" fontId="44" fillId="0" borderId="0" xfId="4" applyFont="1" applyFill="1" applyAlignment="1" applyProtection="1">
      <alignment vertical="center"/>
      <protection hidden="1"/>
    </xf>
    <xf numFmtId="0" fontId="69" fillId="0" borderId="0" xfId="4" applyFont="1" applyFill="1" applyAlignment="1" applyProtection="1">
      <alignment vertical="center"/>
      <protection hidden="1"/>
    </xf>
    <xf numFmtId="0" fontId="42" fillId="18" borderId="0" xfId="4" applyFont="1" applyFill="1" applyAlignment="1" applyProtection="1">
      <alignment vertical="center"/>
      <protection hidden="1"/>
    </xf>
    <xf numFmtId="0" fontId="45" fillId="0" borderId="0" xfId="4" applyFont="1" applyFill="1" applyAlignment="1" applyProtection="1">
      <alignment horizontal="left" vertical="center" wrapText="1"/>
      <protection hidden="1"/>
    </xf>
    <xf numFmtId="164" fontId="45" fillId="0" borderId="0" xfId="4" applyNumberFormat="1" applyFont="1" applyFill="1" applyAlignment="1" applyProtection="1">
      <alignment horizontal="left" vertical="center" wrapText="1"/>
      <protection hidden="1"/>
    </xf>
    <xf numFmtId="0" fontId="44" fillId="0" borderId="0" xfId="4" applyFont="1" applyFill="1" applyAlignment="1" applyProtection="1">
      <alignment horizontal="left" vertical="center"/>
      <protection hidden="1"/>
    </xf>
    <xf numFmtId="164" fontId="45" fillId="0" borderId="0" xfId="4" applyNumberFormat="1" applyFont="1" applyFill="1" applyAlignment="1" applyProtection="1">
      <alignment horizontal="center" vertical="center"/>
      <protection hidden="1"/>
    </xf>
    <xf numFmtId="0" fontId="45" fillId="0" borderId="0" xfId="4" applyFont="1" applyFill="1" applyAlignment="1" applyProtection="1">
      <alignment horizontal="center" vertical="center"/>
      <protection hidden="1"/>
    </xf>
    <xf numFmtId="0" fontId="69" fillId="0" borderId="5" xfId="4" applyFont="1" applyFill="1" applyBorder="1" applyAlignment="1" applyProtection="1">
      <alignment vertical="center"/>
      <protection hidden="1"/>
    </xf>
    <xf numFmtId="3" fontId="44" fillId="0" borderId="5" xfId="4" applyNumberFormat="1" applyFont="1" applyFill="1" applyBorder="1" applyAlignment="1" applyProtection="1">
      <alignment horizontal="center" vertical="center"/>
      <protection hidden="1"/>
    </xf>
    <xf numFmtId="3" fontId="44" fillId="0" borderId="0" xfId="4" applyNumberFormat="1" applyFont="1" applyFill="1" applyAlignment="1" applyProtection="1">
      <alignment horizontal="center" vertical="center"/>
      <protection hidden="1"/>
    </xf>
    <xf numFmtId="0" fontId="44" fillId="0" borderId="5" xfId="4" applyFont="1" applyFill="1" applyBorder="1" applyAlignment="1" applyProtection="1">
      <alignment vertical="center"/>
      <protection hidden="1"/>
    </xf>
    <xf numFmtId="2" fontId="69" fillId="0" borderId="5" xfId="4" applyNumberFormat="1" applyFont="1" applyFill="1" applyBorder="1" applyAlignment="1" applyProtection="1">
      <alignment horizontal="center" vertical="center"/>
      <protection hidden="1"/>
    </xf>
    <xf numFmtId="164" fontId="42" fillId="18" borderId="0" xfId="4" applyNumberFormat="1" applyFont="1" applyFill="1" applyAlignment="1" applyProtection="1">
      <alignment horizontal="center" vertical="center"/>
      <protection hidden="1"/>
    </xf>
    <xf numFmtId="0" fontId="42" fillId="11" borderId="0" xfId="4" applyFont="1" applyFill="1" applyAlignment="1" applyProtection="1">
      <alignment vertical="center"/>
      <protection hidden="1"/>
    </xf>
    <xf numFmtId="164" fontId="42" fillId="0" borderId="0" xfId="4" applyNumberFormat="1" applyFont="1" applyAlignment="1" applyProtection="1">
      <alignment horizontal="center" vertical="center"/>
      <protection hidden="1"/>
    </xf>
    <xf numFmtId="0" fontId="59" fillId="0" borderId="0" xfId="4" applyFont="1" applyFill="1" applyProtection="1">
      <protection hidden="1"/>
    </xf>
    <xf numFmtId="0" fontId="49" fillId="0" borderId="5" xfId="0" applyFont="1" applyBorder="1" applyAlignment="1" applyProtection="1">
      <alignment vertical="center"/>
      <protection locked="0"/>
    </xf>
    <xf numFmtId="3" fontId="19" fillId="0" borderId="5" xfId="0" applyNumberFormat="1" applyFont="1" applyFill="1" applyBorder="1" applyAlignment="1" applyProtection="1">
      <alignment horizontal="center" vertical="center"/>
      <protection locked="0" hidden="1"/>
    </xf>
    <xf numFmtId="166" fontId="5" fillId="0" borderId="0" xfId="0" applyNumberFormat="1" applyFont="1" applyAlignment="1">
      <alignment horizontal="center"/>
    </xf>
    <xf numFmtId="3" fontId="63" fillId="0" borderId="0" xfId="0" applyNumberFormat="1" applyFont="1" applyAlignment="1" applyProtection="1">
      <alignment horizontal="center"/>
      <protection hidden="1"/>
    </xf>
    <xf numFmtId="3" fontId="8" fillId="0" borderId="0" xfId="0" applyNumberFormat="1" applyFont="1" applyProtection="1">
      <protection hidden="1"/>
    </xf>
    <xf numFmtId="3" fontId="8" fillId="0" borderId="0" xfId="0" applyNumberFormat="1" applyFont="1" applyAlignment="1" applyProtection="1">
      <alignment horizontal="center"/>
      <protection hidden="1"/>
    </xf>
    <xf numFmtId="165" fontId="14" fillId="0" borderId="3" xfId="0" applyNumberFormat="1" applyFont="1" applyFill="1" applyBorder="1" applyAlignment="1" applyProtection="1">
      <alignment horizontal="right" vertical="center"/>
      <protection hidden="1"/>
    </xf>
    <xf numFmtId="165" fontId="14" fillId="0" borderId="2" xfId="0" applyNumberFormat="1" applyFont="1" applyFill="1" applyBorder="1" applyAlignment="1" applyProtection="1">
      <alignment horizontal="right" vertical="center"/>
      <protection hidden="1"/>
    </xf>
    <xf numFmtId="164" fontId="14" fillId="0" borderId="15" xfId="0" applyNumberFormat="1" applyFont="1" applyFill="1" applyBorder="1" applyAlignment="1" applyProtection="1">
      <alignment horizontal="left" vertical="center"/>
      <protection hidden="1"/>
    </xf>
    <xf numFmtId="0" fontId="17" fillId="0" borderId="15" xfId="0" applyFont="1" applyFill="1" applyBorder="1" applyAlignment="1" applyProtection="1">
      <alignment horizontal="right" vertical="center" indent="1"/>
      <protection hidden="1"/>
    </xf>
    <xf numFmtId="164" fontId="14" fillId="0" borderId="16" xfId="0" applyNumberFormat="1" applyFont="1" applyFill="1" applyBorder="1" applyAlignment="1" applyProtection="1">
      <alignment horizontal="left" vertical="center"/>
      <protection hidden="1"/>
    </xf>
    <xf numFmtId="0" fontId="61" fillId="0" borderId="0" xfId="0" applyFont="1"/>
    <xf numFmtId="0" fontId="55" fillId="0" borderId="0" xfId="0" applyFont="1"/>
    <xf numFmtId="0" fontId="61" fillId="0" borderId="0" xfId="0" applyFont="1" applyAlignment="1">
      <alignment horizontal="left"/>
    </xf>
    <xf numFmtId="0" fontId="0" fillId="0" borderId="0" xfId="0" applyProtection="1"/>
    <xf numFmtId="166" fontId="14" fillId="0" borderId="16" xfId="0" applyNumberFormat="1" applyFont="1" applyFill="1" applyBorder="1" applyAlignment="1" applyProtection="1">
      <alignment horizontal="right" vertical="center"/>
      <protection hidden="1"/>
    </xf>
    <xf numFmtId="166" fontId="14" fillId="0" borderId="15" xfId="0" applyNumberFormat="1" applyFont="1" applyFill="1" applyBorder="1" applyAlignment="1" applyProtection="1">
      <alignment horizontal="right" vertical="center"/>
      <protection hidden="1"/>
    </xf>
    <xf numFmtId="0" fontId="8" fillId="0" borderId="0" xfId="0" applyFont="1" applyFill="1" applyAlignment="1" applyProtection="1">
      <alignment horizontal="left"/>
      <protection hidden="1"/>
    </xf>
    <xf numFmtId="3" fontId="19" fillId="13" borderId="5" xfId="0" applyNumberFormat="1" applyFont="1" applyFill="1" applyBorder="1" applyAlignment="1" applyProtection="1">
      <alignment horizontal="center" vertical="center"/>
      <protection hidden="1"/>
    </xf>
    <xf numFmtId="0" fontId="11" fillId="11" borderId="5" xfId="0" applyFont="1" applyFill="1" applyBorder="1" applyAlignment="1" applyProtection="1">
      <alignment horizontal="left" vertical="center" wrapText="1"/>
      <protection hidden="1"/>
    </xf>
    <xf numFmtId="3" fontId="38" fillId="0" borderId="5" xfId="0" applyNumberFormat="1" applyFont="1" applyBorder="1" applyAlignment="1" applyProtection="1">
      <alignment horizontal="center" vertical="center"/>
      <protection hidden="1"/>
    </xf>
    <xf numFmtId="0" fontId="14" fillId="0" borderId="0" xfId="0" applyFont="1" applyFill="1" applyBorder="1" applyAlignment="1" applyProtection="1">
      <alignment horizontal="left" vertical="center"/>
      <protection hidden="1"/>
    </xf>
    <xf numFmtId="164" fontId="14" fillId="0" borderId="0" xfId="0" applyNumberFormat="1" applyFont="1" applyFill="1" applyBorder="1" applyAlignment="1" applyProtection="1">
      <alignment horizontal="left" vertical="center"/>
      <protection hidden="1"/>
    </xf>
    <xf numFmtId="0" fontId="17" fillId="0" borderId="17" xfId="0" applyFont="1" applyFill="1" applyBorder="1" applyAlignment="1" applyProtection="1">
      <alignment horizontal="right" vertical="center" indent="1"/>
      <protection hidden="1"/>
    </xf>
    <xf numFmtId="0" fontId="78" fillId="0" borderId="0" xfId="0" applyFont="1" applyAlignment="1" applyProtection="1">
      <alignment vertical="center"/>
      <protection hidden="1"/>
    </xf>
    <xf numFmtId="3" fontId="14" fillId="0" borderId="2" xfId="0" applyNumberFormat="1" applyFont="1" applyFill="1" applyBorder="1" applyAlignment="1" applyProtection="1">
      <alignment horizontal="right" vertical="center" indent="1"/>
      <protection hidden="1"/>
    </xf>
    <xf numFmtId="3" fontId="14" fillId="0" borderId="3" xfId="0" applyNumberFormat="1" applyFont="1" applyFill="1" applyBorder="1" applyAlignment="1" applyProtection="1">
      <alignment horizontal="right" vertical="center" indent="1"/>
      <protection hidden="1"/>
    </xf>
    <xf numFmtId="0" fontId="42" fillId="0" borderId="0" xfId="0" applyFont="1" applyAlignment="1" applyProtection="1">
      <alignment vertical="center"/>
      <protection locked="0" hidden="1"/>
    </xf>
    <xf numFmtId="0" fontId="81" fillId="0" borderId="0" xfId="0" applyFont="1" applyFill="1" applyBorder="1" applyAlignment="1" applyProtection="1">
      <alignment horizontal="left" vertical="center"/>
      <protection hidden="1"/>
    </xf>
    <xf numFmtId="0" fontId="83" fillId="0" borderId="7" xfId="0" applyFont="1" applyFill="1" applyBorder="1" applyAlignment="1" applyProtection="1">
      <alignment horizontal="right" vertical="center"/>
      <protection hidden="1"/>
    </xf>
    <xf numFmtId="3" fontId="84" fillId="15" borderId="4" xfId="0" applyNumberFormat="1" applyFont="1" applyFill="1" applyBorder="1" applyAlignment="1" applyProtection="1">
      <alignment horizontal="center" vertical="center" wrapText="1"/>
      <protection hidden="1"/>
    </xf>
    <xf numFmtId="3" fontId="84" fillId="15" borderId="0" xfId="0" applyNumberFormat="1" applyFont="1" applyFill="1" applyBorder="1" applyAlignment="1" applyProtection="1">
      <alignment horizontal="center" vertical="center" wrapText="1"/>
      <protection hidden="1"/>
    </xf>
    <xf numFmtId="3" fontId="84" fillId="15" borderId="18" xfId="0" applyNumberFormat="1" applyFont="1" applyFill="1" applyBorder="1" applyAlignment="1" applyProtection="1">
      <alignment horizontal="center" vertical="center" wrapText="1"/>
      <protection hidden="1"/>
    </xf>
    <xf numFmtId="3" fontId="84" fillId="15" borderId="21" xfId="0" applyNumberFormat="1" applyFont="1" applyFill="1" applyBorder="1" applyAlignment="1" applyProtection="1">
      <alignment horizontal="center" vertical="center" wrapText="1"/>
      <protection hidden="1"/>
    </xf>
    <xf numFmtId="3" fontId="84" fillId="15" borderId="20" xfId="0" applyNumberFormat="1" applyFont="1" applyFill="1" applyBorder="1" applyAlignment="1" applyProtection="1">
      <alignment horizontal="center" vertical="center" wrapText="1"/>
      <protection hidden="1"/>
    </xf>
    <xf numFmtId="3" fontId="84" fillId="15" borderId="19" xfId="0" applyNumberFormat="1" applyFont="1" applyFill="1" applyBorder="1" applyAlignment="1" applyProtection="1">
      <alignment horizontal="center" vertical="center" wrapText="1"/>
      <protection hidden="1"/>
    </xf>
    <xf numFmtId="3" fontId="84" fillId="15" borderId="8" xfId="0" applyNumberFormat="1" applyFont="1" applyFill="1" applyBorder="1" applyAlignment="1" applyProtection="1">
      <alignment horizontal="center" vertical="center" wrapText="1"/>
      <protection hidden="1"/>
    </xf>
    <xf numFmtId="3" fontId="84" fillId="25" borderId="4" xfId="0" applyNumberFormat="1" applyFont="1" applyFill="1" applyBorder="1" applyAlignment="1" applyProtection="1">
      <alignment horizontal="center" vertical="center" wrapText="1"/>
      <protection hidden="1"/>
    </xf>
    <xf numFmtId="3" fontId="84" fillId="25" borderId="0" xfId="0" applyNumberFormat="1" applyFont="1" applyFill="1" applyBorder="1" applyAlignment="1" applyProtection="1">
      <alignment horizontal="center" vertical="center" wrapText="1"/>
      <protection hidden="1"/>
    </xf>
    <xf numFmtId="3" fontId="84" fillId="25" borderId="18" xfId="0" applyNumberFormat="1" applyFont="1" applyFill="1" applyBorder="1" applyAlignment="1" applyProtection="1">
      <alignment horizontal="center" vertical="center" wrapText="1"/>
      <protection hidden="1"/>
    </xf>
    <xf numFmtId="3" fontId="84" fillId="25" borderId="21" xfId="0" applyNumberFormat="1" applyFont="1" applyFill="1" applyBorder="1" applyAlignment="1" applyProtection="1">
      <alignment horizontal="center" vertical="center" wrapText="1"/>
      <protection hidden="1"/>
    </xf>
    <xf numFmtId="3" fontId="84" fillId="25" borderId="20" xfId="0" applyNumberFormat="1" applyFont="1" applyFill="1" applyBorder="1" applyAlignment="1" applyProtection="1">
      <alignment horizontal="center" vertical="center" wrapText="1"/>
      <protection hidden="1"/>
    </xf>
    <xf numFmtId="3" fontId="84" fillId="25" borderId="19" xfId="0" applyNumberFormat="1" applyFont="1" applyFill="1" applyBorder="1" applyAlignment="1" applyProtection="1">
      <alignment horizontal="center" vertical="center" wrapText="1"/>
      <protection hidden="1"/>
    </xf>
    <xf numFmtId="3" fontId="84" fillId="25" borderId="8" xfId="0" applyNumberFormat="1" applyFont="1" applyFill="1" applyBorder="1" applyAlignment="1" applyProtection="1">
      <alignment horizontal="center" vertical="center" wrapText="1"/>
      <protection hidden="1"/>
    </xf>
    <xf numFmtId="0" fontId="86" fillId="0" borderId="0" xfId="0" applyFont="1" applyAlignment="1">
      <alignment horizontal="center"/>
    </xf>
    <xf numFmtId="0" fontId="87" fillId="0" borderId="0" xfId="0" applyFont="1"/>
    <xf numFmtId="0" fontId="86" fillId="0" borderId="0" xfId="0" applyFont="1"/>
    <xf numFmtId="0" fontId="86" fillId="13" borderId="0" xfId="0" applyFont="1" applyFill="1" applyProtection="1">
      <protection hidden="1"/>
    </xf>
    <xf numFmtId="166" fontId="84" fillId="0" borderId="0" xfId="0" applyNumberFormat="1" applyFont="1" applyFill="1" applyBorder="1" applyAlignment="1" applyProtection="1">
      <alignment horizontal="right" vertical="center"/>
      <protection hidden="1"/>
    </xf>
    <xf numFmtId="3" fontId="49" fillId="0" borderId="0" xfId="0" applyNumberFormat="1" applyFont="1" applyAlignment="1">
      <alignment horizontal="center" vertical="center"/>
    </xf>
    <xf numFmtId="3" fontId="49" fillId="16" borderId="9" xfId="0" applyNumberFormat="1" applyFont="1" applyFill="1" applyBorder="1" applyAlignment="1">
      <alignment horizontal="center" vertical="center" wrapText="1"/>
    </xf>
    <xf numFmtId="3" fontId="64" fillId="0" borderId="0" xfId="0" applyNumberFormat="1" applyFont="1" applyAlignment="1">
      <alignment horizontal="center" vertical="center"/>
    </xf>
    <xf numFmtId="3" fontId="64" fillId="0" borderId="5" xfId="0" applyNumberFormat="1" applyFont="1" applyBorder="1" applyAlignment="1">
      <alignment horizontal="center" vertical="center"/>
    </xf>
    <xf numFmtId="3" fontId="0" fillId="0" borderId="0" xfId="0" applyNumberFormat="1"/>
    <xf numFmtId="3" fontId="0" fillId="0" borderId="0" xfId="0" applyNumberFormat="1" applyFont="1" applyAlignment="1">
      <alignment vertical="center"/>
    </xf>
    <xf numFmtId="3" fontId="64" fillId="16" borderId="9" xfId="0" applyNumberFormat="1" applyFont="1" applyFill="1" applyBorder="1" applyAlignment="1">
      <alignment horizontal="center" vertical="center" wrapText="1"/>
    </xf>
    <xf numFmtId="3" fontId="64" fillId="0" borderId="0" xfId="1" applyNumberFormat="1" applyFont="1" applyFill="1" applyAlignment="1">
      <alignment horizontal="center" vertical="center"/>
    </xf>
    <xf numFmtId="3" fontId="64" fillId="0" borderId="5" xfId="1" applyNumberFormat="1" applyFont="1" applyFill="1" applyBorder="1" applyAlignment="1">
      <alignment horizontal="center" vertical="center"/>
    </xf>
    <xf numFmtId="3" fontId="49" fillId="0" borderId="5" xfId="0" applyNumberFormat="1" applyFont="1" applyBorder="1" applyAlignment="1">
      <alignment vertical="center"/>
    </xf>
    <xf numFmtId="0" fontId="11" fillId="11" borderId="5" xfId="0" applyFont="1" applyFill="1" applyBorder="1" applyAlignment="1" applyProtection="1">
      <alignment horizontal="center" vertical="center" wrapText="1"/>
      <protection hidden="1"/>
    </xf>
    <xf numFmtId="0" fontId="59" fillId="0" borderId="0" xfId="0" applyFont="1" applyAlignment="1">
      <alignment horizontal="left"/>
    </xf>
    <xf numFmtId="165" fontId="37" fillId="0" borderId="5" xfId="4" applyNumberFormat="1" applyFont="1" applyFill="1" applyBorder="1" applyAlignment="1" applyProtection="1">
      <alignment horizontal="center"/>
      <protection hidden="1"/>
    </xf>
    <xf numFmtId="165" fontId="14" fillId="0" borderId="8" xfId="0" applyNumberFormat="1" applyFont="1" applyFill="1" applyBorder="1" applyAlignment="1" applyProtection="1">
      <alignment horizontal="right" vertical="center"/>
      <protection hidden="1"/>
    </xf>
    <xf numFmtId="0" fontId="0" fillId="0" borderId="0" xfId="0" applyFill="1" applyProtection="1">
      <protection hidden="1"/>
    </xf>
    <xf numFmtId="3" fontId="19" fillId="13" borderId="0" xfId="0" applyNumberFormat="1" applyFont="1" applyFill="1" applyBorder="1" applyAlignment="1" applyProtection="1">
      <alignment horizontal="center" vertical="center"/>
      <protection hidden="1"/>
    </xf>
    <xf numFmtId="0" fontId="59" fillId="0" borderId="0" xfId="4" applyFont="1" applyProtection="1">
      <protection hidden="1"/>
    </xf>
    <xf numFmtId="0" fontId="95" fillId="0" borderId="0" xfId="4" applyFont="1" applyFill="1" applyAlignment="1" applyProtection="1">
      <alignment horizontal="left"/>
      <protection hidden="1"/>
    </xf>
    <xf numFmtId="0" fontId="97" fillId="0" borderId="0" xfId="0" applyFont="1"/>
    <xf numFmtId="0" fontId="59" fillId="0" borderId="0" xfId="0" applyFont="1" applyBorder="1" applyAlignment="1">
      <alignment horizontal="left"/>
    </xf>
    <xf numFmtId="167" fontId="14" fillId="0" borderId="15" xfId="0" applyNumberFormat="1" applyFont="1" applyFill="1" applyBorder="1" applyAlignment="1" applyProtection="1">
      <alignment horizontal="right" vertical="center"/>
      <protection hidden="1"/>
    </xf>
    <xf numFmtId="0" fontId="101" fillId="27" borderId="0" xfId="8" applyFont="1" applyFill="1" applyProtection="1">
      <protection hidden="1"/>
    </xf>
    <xf numFmtId="0" fontId="104" fillId="27" borderId="0" xfId="8" applyFont="1" applyFill="1" applyProtection="1">
      <protection hidden="1"/>
    </xf>
    <xf numFmtId="0" fontId="14" fillId="0" borderId="27" xfId="0" applyFont="1" applyFill="1" applyBorder="1" applyAlignment="1" applyProtection="1">
      <alignment horizontal="left" vertical="center"/>
      <protection hidden="1"/>
    </xf>
    <xf numFmtId="3" fontId="84" fillId="15" borderId="27" xfId="0" applyNumberFormat="1" applyFont="1" applyFill="1" applyBorder="1" applyAlignment="1" applyProtection="1">
      <alignment horizontal="center" vertical="center" wrapText="1"/>
      <protection hidden="1"/>
    </xf>
    <xf numFmtId="3" fontId="84" fillId="25" borderId="27" xfId="0" applyNumberFormat="1" applyFont="1" applyFill="1" applyBorder="1" applyAlignment="1" applyProtection="1">
      <alignment horizontal="center" vertical="center" wrapText="1"/>
      <protection hidden="1"/>
    </xf>
    <xf numFmtId="1" fontId="8" fillId="0" borderId="0" xfId="0" applyNumberFormat="1" applyFont="1" applyAlignment="1" applyProtection="1">
      <alignment horizontal="center"/>
      <protection hidden="1"/>
    </xf>
    <xf numFmtId="0" fontId="73" fillId="0" borderId="0" xfId="0" applyFont="1" applyAlignment="1" applyProtection="1">
      <alignment horizontal="right"/>
      <protection hidden="1"/>
    </xf>
    <xf numFmtId="0" fontId="61" fillId="0" borderId="0" xfId="0" applyFont="1" applyBorder="1"/>
    <xf numFmtId="0" fontId="106" fillId="0" borderId="0" xfId="0" applyFont="1" applyBorder="1" applyAlignment="1">
      <alignment horizontal="center"/>
    </xf>
    <xf numFmtId="0" fontId="106" fillId="0" borderId="0" xfId="0" applyFont="1" applyBorder="1" applyAlignment="1">
      <alignment horizontal="left"/>
    </xf>
    <xf numFmtId="0" fontId="61" fillId="0" borderId="0" xfId="0" applyFont="1" applyBorder="1" applyAlignment="1">
      <alignment horizontal="left"/>
    </xf>
    <xf numFmtId="0" fontId="60" fillId="0" borderId="0" xfId="0" applyFont="1" applyBorder="1" applyAlignment="1">
      <alignment horizontal="center"/>
    </xf>
    <xf numFmtId="0" fontId="45" fillId="0" borderId="0" xfId="5" applyFont="1" applyFill="1" applyBorder="1" applyProtection="1">
      <protection hidden="1"/>
    </xf>
    <xf numFmtId="0" fontId="60" fillId="0" borderId="0" xfId="0" applyFont="1" applyBorder="1" applyAlignment="1">
      <alignment horizontal="left"/>
    </xf>
    <xf numFmtId="0" fontId="45" fillId="0" borderId="0" xfId="4" applyFont="1" applyFill="1" applyBorder="1" applyAlignment="1" applyProtection="1">
      <alignment vertical="center"/>
      <protection hidden="1"/>
    </xf>
    <xf numFmtId="0" fontId="45" fillId="0" borderId="0" xfId="4" applyFont="1" applyFill="1" applyBorder="1" applyAlignment="1" applyProtection="1">
      <alignment horizontal="center" vertical="center"/>
      <protection hidden="1"/>
    </xf>
    <xf numFmtId="164" fontId="45" fillId="0" borderId="0" xfId="4" applyNumberFormat="1" applyFont="1" applyFill="1" applyBorder="1" applyAlignment="1" applyProtection="1">
      <alignment horizontal="center" vertical="center"/>
      <protection hidden="1"/>
    </xf>
    <xf numFmtId="0" fontId="45" fillId="0" borderId="0" xfId="4" applyFont="1" applyAlignment="1" applyProtection="1">
      <alignment vertical="center"/>
      <protection hidden="1"/>
    </xf>
    <xf numFmtId="0" fontId="45" fillId="0" borderId="0" xfId="4" applyFont="1" applyFill="1" applyBorder="1" applyAlignment="1" applyProtection="1">
      <alignment horizontal="left" vertical="center"/>
      <protection hidden="1"/>
    </xf>
    <xf numFmtId="0" fontId="45" fillId="0" borderId="0" xfId="4" applyFont="1" applyFill="1" applyBorder="1" applyAlignment="1" applyProtection="1">
      <alignment horizontal="center" vertical="center" wrapText="1"/>
      <protection hidden="1"/>
    </xf>
    <xf numFmtId="164" fontId="45" fillId="0" borderId="0" xfId="4" applyNumberFormat="1" applyFont="1" applyFill="1" applyBorder="1" applyAlignment="1" applyProtection="1">
      <alignment horizontal="center" vertical="center" wrapText="1"/>
      <protection hidden="1"/>
    </xf>
    <xf numFmtId="0" fontId="45" fillId="0" borderId="0" xfId="4" applyFont="1" applyFill="1" applyAlignment="1" applyProtection="1">
      <alignment horizontal="left" vertical="center"/>
      <protection hidden="1"/>
    </xf>
    <xf numFmtId="0" fontId="45" fillId="0" borderId="0" xfId="4" applyFont="1" applyAlignment="1" applyProtection="1">
      <alignment horizontal="left" vertical="center"/>
      <protection hidden="1"/>
    </xf>
    <xf numFmtId="0" fontId="46" fillId="0" borderId="0" xfId="4" applyFont="1" applyFill="1" applyBorder="1" applyAlignment="1" applyProtection="1">
      <alignment vertical="center"/>
      <protection hidden="1"/>
    </xf>
    <xf numFmtId="0" fontId="46" fillId="0" borderId="0" xfId="4" applyFont="1" applyFill="1" applyBorder="1" applyAlignment="1" applyProtection="1">
      <alignment vertical="center"/>
      <protection locked="0" hidden="1"/>
    </xf>
    <xf numFmtId="0" fontId="46" fillId="0" borderId="0" xfId="4" applyFont="1" applyAlignment="1" applyProtection="1">
      <alignment vertical="center"/>
      <protection hidden="1"/>
    </xf>
    <xf numFmtId="164" fontId="107" fillId="0" borderId="0" xfId="4" applyNumberFormat="1" applyFont="1" applyFill="1" applyBorder="1" applyAlignment="1" applyProtection="1">
      <alignment horizontal="center" vertical="center"/>
      <protection hidden="1"/>
    </xf>
    <xf numFmtId="164" fontId="107" fillId="0" borderId="0" xfId="4" applyNumberFormat="1" applyFont="1" applyFill="1" applyBorder="1" applyAlignment="1" applyProtection="1">
      <alignment horizontal="center" vertical="center"/>
      <protection locked="0" hidden="1"/>
    </xf>
    <xf numFmtId="164" fontId="46" fillId="0" borderId="0" xfId="4" applyNumberFormat="1" applyFont="1" applyFill="1" applyBorder="1" applyAlignment="1" applyProtection="1">
      <alignment horizontal="center" vertical="center"/>
      <protection hidden="1"/>
    </xf>
    <xf numFmtId="164" fontId="46" fillId="0" borderId="0" xfId="4" applyNumberFormat="1" applyFont="1" applyFill="1" applyAlignment="1" applyProtection="1">
      <alignment horizontal="center" vertical="center"/>
      <protection hidden="1"/>
    </xf>
    <xf numFmtId="0" fontId="46" fillId="0" borderId="0" xfId="4" applyFont="1" applyFill="1" applyAlignment="1" applyProtection="1">
      <alignment vertical="center"/>
      <protection hidden="1"/>
    </xf>
    <xf numFmtId="0" fontId="98" fillId="14" borderId="0" xfId="0" applyFont="1" applyFill="1" applyBorder="1" applyAlignment="1" applyProtection="1">
      <alignment horizontal="center" vertical="top"/>
      <protection hidden="1"/>
    </xf>
    <xf numFmtId="0" fontId="98" fillId="14" borderId="0" xfId="0" applyFont="1" applyFill="1" applyBorder="1" applyAlignment="1" applyProtection="1">
      <alignment horizontal="center" vertical="top" wrapText="1"/>
      <protection hidden="1"/>
    </xf>
    <xf numFmtId="3" fontId="98" fillId="14" borderId="0" xfId="0" applyNumberFormat="1" applyFont="1" applyFill="1" applyBorder="1" applyAlignment="1" applyProtection="1">
      <alignment horizontal="center" vertical="top" wrapText="1"/>
      <protection hidden="1"/>
    </xf>
    <xf numFmtId="3" fontId="98" fillId="24" borderId="0" xfId="0" applyNumberFormat="1" applyFont="1" applyFill="1" applyBorder="1" applyAlignment="1" applyProtection="1">
      <alignment horizontal="center" vertical="top" wrapText="1"/>
      <protection hidden="1"/>
    </xf>
    <xf numFmtId="166" fontId="14" fillId="0" borderId="0" xfId="0" applyNumberFormat="1" applyFont="1" applyFill="1" applyBorder="1" applyAlignment="1" applyProtection="1">
      <alignment horizontal="right" vertical="center"/>
      <protection hidden="1"/>
    </xf>
    <xf numFmtId="0" fontId="108" fillId="0" borderId="0" xfId="0" applyFont="1"/>
    <xf numFmtId="0" fontId="104" fillId="27" borderId="0" xfId="9" applyFont="1" applyFill="1" applyAlignment="1" applyProtection="1">
      <alignment horizontal="left" readingOrder="1"/>
      <protection hidden="1"/>
    </xf>
    <xf numFmtId="0" fontId="110" fillId="0" borderId="0" xfId="8" applyFont="1" applyAlignment="1">
      <alignment vertical="center"/>
    </xf>
    <xf numFmtId="0" fontId="111" fillId="0" borderId="0" xfId="8" applyFont="1" applyAlignment="1">
      <alignment horizontal="left" vertical="center"/>
    </xf>
    <xf numFmtId="3" fontId="64" fillId="0" borderId="0" xfId="8" applyNumberFormat="1" applyFont="1" applyAlignment="1">
      <alignment vertical="center"/>
    </xf>
    <xf numFmtId="0" fontId="64" fillId="0" borderId="0" xfId="8" applyFont="1" applyAlignment="1">
      <alignment horizontal="left" vertical="center"/>
    </xf>
    <xf numFmtId="0" fontId="112" fillId="0" borderId="0" xfId="8" applyFont="1" applyAlignment="1">
      <alignment vertical="center"/>
    </xf>
    <xf numFmtId="0" fontId="112" fillId="0" borderId="0" xfId="8" applyFont="1" applyAlignment="1">
      <alignment horizontal="left" vertical="center"/>
    </xf>
    <xf numFmtId="0" fontId="113" fillId="0" borderId="9" xfId="8" applyFont="1" applyFill="1" applyBorder="1" applyAlignment="1">
      <alignment horizontal="left" vertical="center"/>
    </xf>
    <xf numFmtId="3" fontId="113" fillId="0" borderId="9" xfId="8" applyNumberFormat="1" applyFont="1" applyFill="1" applyBorder="1" applyAlignment="1">
      <alignment horizontal="center" vertical="center" wrapText="1"/>
    </xf>
    <xf numFmtId="0" fontId="110" fillId="0" borderId="0" xfId="8" applyFont="1" applyAlignment="1">
      <alignment horizontal="center" vertical="center"/>
    </xf>
    <xf numFmtId="0" fontId="64" fillId="0" borderId="0" xfId="8" applyFont="1" applyBorder="1" applyAlignment="1">
      <alignment horizontal="left" vertical="center"/>
    </xf>
    <xf numFmtId="3" fontId="64" fillId="0" borderId="0" xfId="1" applyNumberFormat="1" applyFont="1" applyAlignment="1">
      <alignment vertical="center"/>
    </xf>
    <xf numFmtId="0" fontId="64" fillId="0" borderId="0" xfId="8" applyFont="1" applyFill="1" applyBorder="1" applyAlignment="1">
      <alignment horizontal="left" vertical="center"/>
    </xf>
    <xf numFmtId="0" fontId="114" fillId="0" borderId="0" xfId="8" applyFont="1" applyBorder="1" applyAlignment="1">
      <alignment horizontal="left" vertical="center"/>
    </xf>
    <xf numFmtId="0" fontId="4" fillId="0" borderId="0" xfId="8"/>
    <xf numFmtId="3" fontId="115" fillId="0" borderId="0" xfId="8" applyNumberFormat="1" applyFont="1" applyAlignment="1">
      <alignment vertical="center"/>
    </xf>
    <xf numFmtId="3" fontId="115" fillId="0" borderId="0" xfId="1" applyNumberFormat="1" applyFont="1" applyAlignment="1">
      <alignment vertical="center"/>
    </xf>
    <xf numFmtId="0" fontId="112" fillId="0" borderId="0" xfId="8" applyFont="1" applyProtection="1">
      <protection hidden="1"/>
    </xf>
    <xf numFmtId="0" fontId="117" fillId="0" borderId="0" xfId="8" applyFont="1" applyProtection="1">
      <protection hidden="1"/>
    </xf>
    <xf numFmtId="0" fontId="118" fillId="0" borderId="0" xfId="8" applyFont="1" applyProtection="1">
      <protection hidden="1"/>
    </xf>
    <xf numFmtId="0" fontId="109" fillId="0" borderId="0" xfId="8" applyFont="1" applyProtection="1">
      <protection hidden="1"/>
    </xf>
    <xf numFmtId="0" fontId="112" fillId="12" borderId="28" xfId="8" applyFont="1" applyFill="1" applyBorder="1" applyProtection="1">
      <protection hidden="1"/>
    </xf>
    <xf numFmtId="0" fontId="112" fillId="12" borderId="29" xfId="8" applyFont="1" applyFill="1" applyBorder="1" applyProtection="1">
      <protection hidden="1"/>
    </xf>
    <xf numFmtId="0" fontId="112" fillId="12" borderId="29" xfId="8" applyFont="1" applyFill="1" applyBorder="1" applyAlignment="1" applyProtection="1">
      <alignment vertical="center"/>
      <protection hidden="1"/>
    </xf>
    <xf numFmtId="0" fontId="113" fillId="12" borderId="29" xfId="8" applyFont="1" applyFill="1" applyBorder="1" applyAlignment="1" applyProtection="1">
      <alignment vertical="center"/>
      <protection hidden="1"/>
    </xf>
    <xf numFmtId="0" fontId="119" fillId="12" borderId="30" xfId="8" applyFont="1" applyFill="1" applyBorder="1" applyAlignment="1" applyProtection="1">
      <alignment vertical="center"/>
      <protection hidden="1"/>
    </xf>
    <xf numFmtId="0" fontId="55" fillId="0" borderId="0" xfId="8" applyFont="1" applyProtection="1">
      <protection hidden="1"/>
    </xf>
    <xf numFmtId="0" fontId="113" fillId="0" borderId="0" xfId="8" applyFont="1" applyAlignment="1" applyProtection="1">
      <alignment horizontal="center"/>
      <protection locked="0" hidden="1"/>
    </xf>
    <xf numFmtId="0" fontId="112" fillId="12" borderId="31" xfId="8" applyFont="1" applyFill="1" applyBorder="1" applyProtection="1">
      <protection hidden="1"/>
    </xf>
    <xf numFmtId="0" fontId="110" fillId="0" borderId="0" xfId="8" applyFont="1" applyBorder="1" applyAlignment="1" applyProtection="1">
      <alignment horizontal="center"/>
      <protection locked="0" hidden="1"/>
    </xf>
    <xf numFmtId="0" fontId="120" fillId="29" borderId="1" xfId="8" applyFont="1" applyFill="1" applyBorder="1" applyAlignment="1" applyProtection="1">
      <alignment horizontal="left" vertical="center"/>
      <protection hidden="1"/>
    </xf>
    <xf numFmtId="3" fontId="121" fillId="13" borderId="1" xfId="8" applyNumberFormat="1" applyFont="1" applyFill="1" applyBorder="1" applyAlignment="1" applyProtection="1">
      <alignment horizontal="center" vertical="center"/>
      <protection hidden="1"/>
    </xf>
    <xf numFmtId="0" fontId="121" fillId="12" borderId="0" xfId="8" applyFont="1" applyFill="1" applyBorder="1" applyAlignment="1" applyProtection="1">
      <alignment vertical="center"/>
      <protection hidden="1"/>
    </xf>
    <xf numFmtId="164" fontId="121" fillId="13" borderId="1" xfId="8" applyNumberFormat="1" applyFont="1" applyFill="1" applyBorder="1" applyAlignment="1" applyProtection="1">
      <alignment vertical="center"/>
      <protection hidden="1"/>
    </xf>
    <xf numFmtId="0" fontId="121" fillId="13" borderId="32" xfId="8" applyFont="1" applyFill="1" applyBorder="1" applyAlignment="1" applyProtection="1">
      <alignment vertical="center"/>
      <protection hidden="1"/>
    </xf>
    <xf numFmtId="164" fontId="55" fillId="0" borderId="0" xfId="8" applyNumberFormat="1" applyFont="1" applyAlignment="1" applyProtection="1">
      <alignment horizontal="center"/>
      <protection hidden="1"/>
    </xf>
    <xf numFmtId="0" fontId="113" fillId="0" borderId="0" xfId="8" applyFont="1" applyAlignment="1" applyProtection="1">
      <alignment horizontal="center"/>
      <protection hidden="1"/>
    </xf>
    <xf numFmtId="0" fontId="64" fillId="0" borderId="0" xfId="8" applyFont="1" applyAlignment="1" applyProtection="1">
      <alignment horizontal="center"/>
      <protection hidden="1"/>
    </xf>
    <xf numFmtId="0" fontId="112" fillId="12" borderId="0" xfId="8" applyFont="1" applyFill="1" applyBorder="1" applyProtection="1">
      <protection hidden="1"/>
    </xf>
    <xf numFmtId="0" fontId="113" fillId="12" borderId="0" xfId="8" applyFont="1" applyFill="1" applyBorder="1" applyAlignment="1" applyProtection="1">
      <alignment vertical="center"/>
      <protection hidden="1"/>
    </xf>
    <xf numFmtId="3" fontId="113" fillId="12" borderId="0" xfId="8" applyNumberFormat="1" applyFont="1" applyFill="1" applyBorder="1" applyAlignment="1" applyProtection="1">
      <alignment horizontal="center" vertical="center"/>
      <protection hidden="1"/>
    </xf>
    <xf numFmtId="0" fontId="113" fillId="12" borderId="33" xfId="8" applyFont="1" applyFill="1" applyBorder="1" applyAlignment="1" applyProtection="1">
      <alignment vertical="center"/>
      <protection hidden="1"/>
    </xf>
    <xf numFmtId="0" fontId="122" fillId="28" borderId="1" xfId="8" applyFont="1" applyFill="1" applyBorder="1" applyAlignment="1" applyProtection="1">
      <alignment horizontal="left" vertical="center"/>
      <protection hidden="1"/>
    </xf>
    <xf numFmtId="3" fontId="113" fillId="10" borderId="1" xfId="8" applyNumberFormat="1" applyFont="1" applyFill="1" applyBorder="1" applyAlignment="1" applyProtection="1">
      <alignment horizontal="center" vertical="center"/>
      <protection hidden="1"/>
    </xf>
    <xf numFmtId="164" fontId="113" fillId="10" borderId="1" xfId="8" applyNumberFormat="1" applyFont="1" applyFill="1" applyBorder="1" applyAlignment="1" applyProtection="1">
      <alignment vertical="center"/>
      <protection hidden="1"/>
    </xf>
    <xf numFmtId="0" fontId="113" fillId="10" borderId="32" xfId="8" applyFont="1" applyFill="1" applyBorder="1" applyAlignment="1" applyProtection="1">
      <alignment vertical="center"/>
      <protection hidden="1"/>
    </xf>
    <xf numFmtId="0" fontId="112" fillId="12" borderId="33" xfId="8" applyFont="1" applyFill="1" applyBorder="1" applyProtection="1">
      <protection hidden="1"/>
    </xf>
    <xf numFmtId="0" fontId="112" fillId="0" borderId="0" xfId="8" applyFont="1" applyProtection="1">
      <protection locked="0" hidden="1"/>
    </xf>
    <xf numFmtId="0" fontId="64" fillId="0" borderId="0" xfId="8" applyFont="1" applyProtection="1">
      <protection hidden="1"/>
    </xf>
    <xf numFmtId="3" fontId="93" fillId="26" borderId="0" xfId="8" applyNumberFormat="1" applyFont="1" applyFill="1" applyAlignment="1">
      <alignment vertical="center"/>
    </xf>
    <xf numFmtId="3" fontId="64" fillId="26" borderId="0" xfId="1" applyNumberFormat="1" applyFont="1" applyFill="1" applyAlignment="1">
      <alignment vertical="center"/>
    </xf>
    <xf numFmtId="165" fontId="64" fillId="13" borderId="6" xfId="8" applyNumberFormat="1" applyFont="1" applyFill="1" applyBorder="1" applyProtection="1">
      <protection hidden="1"/>
    </xf>
    <xf numFmtId="165" fontId="64" fillId="10" borderId="6" xfId="8" applyNumberFormat="1" applyFont="1" applyFill="1" applyBorder="1" applyProtection="1">
      <protection hidden="1"/>
    </xf>
    <xf numFmtId="0" fontId="125" fillId="0" borderId="0" xfId="8" applyFont="1" applyProtection="1">
      <protection hidden="1"/>
    </xf>
    <xf numFmtId="0" fontId="127" fillId="0" borderId="0" xfId="8" applyFont="1" applyAlignment="1" applyProtection="1">
      <alignment vertical="top"/>
      <protection hidden="1"/>
    </xf>
    <xf numFmtId="0" fontId="110" fillId="0" borderId="0" xfId="8" applyFont="1" applyProtection="1">
      <protection hidden="1"/>
    </xf>
    <xf numFmtId="164" fontId="49" fillId="0" borderId="0" xfId="8" applyNumberFormat="1" applyFont="1" applyProtection="1">
      <protection hidden="1"/>
    </xf>
    <xf numFmtId="0" fontId="109" fillId="0" borderId="0" xfId="8" applyFont="1" applyAlignment="1" applyProtection="1">
      <alignment horizontal="center"/>
      <protection locked="0" hidden="1"/>
    </xf>
    <xf numFmtId="0" fontId="117" fillId="0" borderId="0" xfId="8" applyFont="1" applyProtection="1">
      <protection locked="0" hidden="1"/>
    </xf>
    <xf numFmtId="0" fontId="128" fillId="0" borderId="0" xfId="8" applyFont="1" applyProtection="1">
      <protection hidden="1"/>
    </xf>
    <xf numFmtId="0" fontId="64" fillId="0" borderId="0" xfId="8" applyFont="1" applyFill="1" applyProtection="1">
      <protection hidden="1"/>
    </xf>
    <xf numFmtId="0" fontId="112" fillId="0" borderId="0" xfId="8" applyFont="1" applyFill="1" applyProtection="1">
      <protection hidden="1"/>
    </xf>
    <xf numFmtId="0" fontId="130" fillId="0" borderId="0" xfId="8" applyFont="1" applyProtection="1">
      <protection hidden="1"/>
    </xf>
    <xf numFmtId="0" fontId="131" fillId="0" borderId="0" xfId="8" applyFont="1" applyProtection="1">
      <protection hidden="1"/>
    </xf>
    <xf numFmtId="0" fontId="118" fillId="0" borderId="35" xfId="8" applyFont="1" applyBorder="1" applyProtection="1">
      <protection hidden="1"/>
    </xf>
    <xf numFmtId="3" fontId="49" fillId="15" borderId="35" xfId="8" applyNumberFormat="1" applyFont="1" applyFill="1" applyBorder="1" applyProtection="1">
      <protection hidden="1"/>
    </xf>
    <xf numFmtId="0" fontId="64" fillId="0" borderId="5" xfId="8" applyFont="1" applyBorder="1" applyProtection="1">
      <protection hidden="1"/>
    </xf>
    <xf numFmtId="165" fontId="64" fillId="13" borderId="5" xfId="8" applyNumberFormat="1" applyFont="1" applyFill="1" applyBorder="1" applyProtection="1">
      <protection hidden="1"/>
    </xf>
    <xf numFmtId="165" fontId="64" fillId="10" borderId="5" xfId="8" applyNumberFormat="1" applyFont="1" applyFill="1" applyBorder="1" applyProtection="1">
      <protection hidden="1"/>
    </xf>
    <xf numFmtId="166" fontId="64" fillId="13" borderId="5" xfId="8" applyNumberFormat="1" applyFont="1" applyFill="1" applyBorder="1" applyAlignment="1" applyProtection="1">
      <alignment horizontal="center"/>
      <protection hidden="1"/>
    </xf>
    <xf numFmtId="166" fontId="64" fillId="10" borderId="5" xfId="8" applyNumberFormat="1" applyFont="1" applyFill="1" applyBorder="1" applyAlignment="1" applyProtection="1">
      <alignment horizontal="center"/>
      <protection hidden="1"/>
    </xf>
    <xf numFmtId="3" fontId="33" fillId="3" borderId="5" xfId="0" applyNumberFormat="1" applyFont="1" applyFill="1" applyBorder="1" applyAlignment="1" applyProtection="1">
      <alignment vertical="center"/>
      <protection hidden="1"/>
    </xf>
    <xf numFmtId="3" fontId="33" fillId="0" borderId="5" xfId="0" applyNumberFormat="1" applyFont="1" applyBorder="1" applyAlignment="1" applyProtection="1">
      <alignment horizontal="right" vertical="center"/>
      <protection hidden="1"/>
    </xf>
    <xf numFmtId="3" fontId="36" fillId="0" borderId="5" xfId="0" applyNumberFormat="1" applyFont="1" applyFill="1" applyBorder="1" applyAlignment="1" applyProtection="1">
      <alignment horizontal="center" vertical="center" wrapText="1"/>
      <protection hidden="1"/>
    </xf>
    <xf numFmtId="3" fontId="34" fillId="0" borderId="0" xfId="0" applyNumberFormat="1" applyFont="1" applyFill="1" applyAlignment="1" applyProtection="1">
      <alignment horizontal="center"/>
    </xf>
    <xf numFmtId="165" fontId="36" fillId="0" borderId="5" xfId="0" applyNumberFormat="1" applyFont="1" applyFill="1" applyBorder="1" applyAlignment="1" applyProtection="1">
      <alignment horizontal="center" vertical="center" wrapText="1"/>
      <protection hidden="1"/>
    </xf>
    <xf numFmtId="1" fontId="36" fillId="0" borderId="6" xfId="0" applyNumberFormat="1" applyFont="1" applyFill="1" applyBorder="1" applyAlignment="1" applyProtection="1">
      <alignment horizontal="center" vertical="center" wrapText="1"/>
      <protection hidden="1"/>
    </xf>
    <xf numFmtId="164" fontId="36" fillId="0" borderId="6" xfId="0" applyNumberFormat="1" applyFont="1" applyFill="1" applyBorder="1" applyAlignment="1" applyProtection="1">
      <alignment horizontal="center" vertical="center" wrapText="1"/>
      <protection hidden="1"/>
    </xf>
    <xf numFmtId="3" fontId="36" fillId="0" borderId="6" xfId="0" applyNumberFormat="1" applyFont="1" applyFill="1" applyBorder="1" applyAlignment="1" applyProtection="1">
      <alignment horizontal="center" vertical="center" wrapText="1"/>
      <protection hidden="1"/>
    </xf>
    <xf numFmtId="3" fontId="37" fillId="0" borderId="5" xfId="0" applyNumberFormat="1" applyFont="1" applyFill="1" applyBorder="1" applyAlignment="1" applyProtection="1">
      <alignment horizontal="left"/>
      <protection hidden="1"/>
    </xf>
    <xf numFmtId="3" fontId="33" fillId="11" borderId="5" xfId="5" applyNumberFormat="1" applyFont="1" applyFill="1" applyBorder="1" applyAlignment="1" applyProtection="1">
      <alignment horizontal="center"/>
      <protection hidden="1"/>
    </xf>
    <xf numFmtId="164" fontId="36" fillId="11" borderId="6" xfId="0" applyNumberFormat="1" applyFont="1" applyFill="1" applyBorder="1" applyAlignment="1" applyProtection="1">
      <alignment horizontal="center" vertical="center" wrapText="1"/>
      <protection hidden="1"/>
    </xf>
    <xf numFmtId="165" fontId="33" fillId="11" borderId="5" xfId="5" applyNumberFormat="1" applyFont="1" applyFill="1" applyBorder="1" applyAlignment="1" applyProtection="1">
      <alignment horizontal="center"/>
      <protection hidden="1"/>
    </xf>
    <xf numFmtId="0" fontId="33" fillId="0" borderId="5" xfId="0" applyFont="1" applyFill="1" applyBorder="1" applyProtection="1">
      <protection hidden="1"/>
    </xf>
    <xf numFmtId="3" fontId="11" fillId="11" borderId="5" xfId="0" applyNumberFormat="1" applyFont="1" applyFill="1" applyBorder="1" applyAlignment="1" applyProtection="1">
      <alignment horizontal="center" vertical="center" wrapText="1"/>
      <protection hidden="1"/>
    </xf>
    <xf numFmtId="0" fontId="7" fillId="11" borderId="10" xfId="0" applyFont="1" applyFill="1" applyBorder="1" applyAlignment="1" applyProtection="1">
      <alignment horizontal="center" vertical="center"/>
      <protection hidden="1"/>
    </xf>
    <xf numFmtId="164" fontId="110" fillId="0" borderId="0" xfId="8" applyNumberFormat="1" applyFont="1" applyAlignment="1">
      <alignment horizontal="center" vertical="center"/>
    </xf>
    <xf numFmtId="164" fontId="115" fillId="0" borderId="0" xfId="8" applyNumberFormat="1" applyFont="1" applyAlignment="1">
      <alignment vertical="center"/>
    </xf>
    <xf numFmtId="164" fontId="115" fillId="30" borderId="0" xfId="8" applyNumberFormat="1" applyFont="1" applyFill="1" applyBorder="1" applyAlignment="1">
      <alignment horizontal="center" vertical="center"/>
    </xf>
    <xf numFmtId="164" fontId="115" fillId="30" borderId="0" xfId="1" applyNumberFormat="1" applyFont="1" applyFill="1" applyAlignment="1">
      <alignment horizontal="center" vertical="center"/>
    </xf>
    <xf numFmtId="3" fontId="113" fillId="0" borderId="0" xfId="8" applyNumberFormat="1" applyFont="1" applyFill="1" applyBorder="1" applyAlignment="1">
      <alignment horizontal="center" vertical="center" wrapText="1"/>
    </xf>
    <xf numFmtId="0" fontId="98" fillId="14" borderId="0" xfId="0" applyFont="1" applyFill="1" applyBorder="1" applyAlignment="1" applyProtection="1">
      <alignment horizontal="left" vertical="top"/>
      <protection hidden="1"/>
    </xf>
    <xf numFmtId="3" fontId="99" fillId="14" borderId="0" xfId="0" applyNumberFormat="1" applyFont="1" applyFill="1" applyBorder="1" applyAlignment="1" applyProtection="1">
      <alignment horizontal="center" vertical="top" wrapText="1"/>
      <protection hidden="1"/>
    </xf>
    <xf numFmtId="0" fontId="30" fillId="0" borderId="26" xfId="0" applyFont="1" applyFill="1" applyBorder="1" applyAlignment="1" applyProtection="1">
      <alignment horizontal="left"/>
      <protection hidden="1"/>
    </xf>
    <xf numFmtId="0" fontId="30" fillId="0" borderId="26" xfId="0" applyFont="1" applyBorder="1" applyAlignment="1" applyProtection="1">
      <alignment horizontal="left"/>
      <protection hidden="1"/>
    </xf>
    <xf numFmtId="0" fontId="30" fillId="0" borderId="26" xfId="0" applyFont="1" applyBorder="1" applyAlignment="1" applyProtection="1">
      <alignment horizontal="center"/>
      <protection hidden="1"/>
    </xf>
    <xf numFmtId="3" fontId="30" fillId="0" borderId="26" xfId="0" applyNumberFormat="1" applyFont="1" applyBorder="1" applyAlignment="1" applyProtection="1">
      <alignment horizontal="center"/>
      <protection hidden="1"/>
    </xf>
    <xf numFmtId="3" fontId="89" fillId="0" borderId="26" xfId="13" applyNumberFormat="1" applyFont="1" applyFill="1" applyBorder="1" applyAlignment="1" applyProtection="1">
      <alignment horizontal="right" indent="1"/>
      <protection hidden="1"/>
    </xf>
    <xf numFmtId="3" fontId="89" fillId="0" borderId="26" xfId="13" applyNumberFormat="1" applyFont="1" applyFill="1" applyBorder="1" applyAlignment="1" applyProtection="1">
      <alignment horizontal="center"/>
      <protection hidden="1"/>
    </xf>
    <xf numFmtId="3" fontId="89" fillId="0" borderId="26" xfId="0" applyNumberFormat="1" applyFont="1" applyFill="1" applyBorder="1" applyAlignment="1" applyProtection="1">
      <alignment horizontal="center"/>
      <protection hidden="1"/>
    </xf>
    <xf numFmtId="0" fontId="30" fillId="15" borderId="26" xfId="0" applyFont="1" applyFill="1" applyBorder="1" applyAlignment="1" applyProtection="1">
      <alignment horizontal="left"/>
      <protection hidden="1"/>
    </xf>
    <xf numFmtId="0" fontId="30" fillId="15" borderId="26" xfId="0" applyFont="1" applyFill="1" applyBorder="1" applyAlignment="1" applyProtection="1">
      <alignment horizontal="center"/>
      <protection hidden="1"/>
    </xf>
    <xf numFmtId="3" fontId="30" fillId="15" borderId="26" xfId="0" applyNumberFormat="1" applyFont="1" applyFill="1" applyBorder="1" applyAlignment="1" applyProtection="1">
      <alignment horizontal="center"/>
      <protection hidden="1"/>
    </xf>
    <xf numFmtId="3" fontId="89" fillId="15" borderId="26" xfId="13" applyNumberFormat="1" applyFont="1" applyFill="1" applyBorder="1" applyAlignment="1" applyProtection="1">
      <alignment horizontal="right" indent="1"/>
      <protection hidden="1"/>
    </xf>
    <xf numFmtId="3" fontId="89" fillId="15" borderId="26" xfId="13" applyNumberFormat="1" applyFont="1" applyFill="1" applyBorder="1" applyAlignment="1" applyProtection="1">
      <alignment horizontal="center"/>
      <protection hidden="1"/>
    </xf>
    <xf numFmtId="3" fontId="89" fillId="15" borderId="26" xfId="0" applyNumberFormat="1" applyFont="1" applyFill="1" applyBorder="1" applyAlignment="1" applyProtection="1">
      <alignment horizontal="center"/>
      <protection hidden="1"/>
    </xf>
    <xf numFmtId="3" fontId="52" fillId="13" borderId="0" xfId="0" applyNumberFormat="1" applyFont="1" applyFill="1" applyAlignment="1" applyProtection="1">
      <alignment horizontal="center"/>
      <protection hidden="1"/>
    </xf>
    <xf numFmtId="166" fontId="52" fillId="13" borderId="0" xfId="0" applyNumberFormat="1" applyFont="1" applyFill="1" applyAlignment="1" applyProtection="1">
      <alignment horizontal="center"/>
      <protection hidden="1"/>
    </xf>
    <xf numFmtId="3" fontId="30" fillId="8" borderId="26" xfId="0" applyNumberFormat="1" applyFont="1" applyFill="1" applyBorder="1" applyAlignment="1" applyProtection="1">
      <alignment horizontal="center"/>
      <protection hidden="1"/>
    </xf>
    <xf numFmtId="0" fontId="30" fillId="8" borderId="26" xfId="0" applyFont="1" applyFill="1" applyBorder="1" applyAlignment="1" applyProtection="1">
      <alignment horizontal="center"/>
      <protection hidden="1"/>
    </xf>
    <xf numFmtId="0" fontId="128" fillId="0" borderId="0" xfId="8" applyFont="1" applyBorder="1" applyAlignment="1">
      <alignment horizontal="left" vertical="center"/>
    </xf>
    <xf numFmtId="3" fontId="109" fillId="0" borderId="0" xfId="1" applyNumberFormat="1" applyFont="1" applyAlignment="1">
      <alignment vertical="center"/>
    </xf>
    <xf numFmtId="0" fontId="128" fillId="0" borderId="0" xfId="8" applyFont="1" applyFill="1" applyBorder="1" applyAlignment="1">
      <alignment horizontal="left" vertical="center"/>
    </xf>
    <xf numFmtId="3" fontId="115" fillId="0" borderId="0" xfId="0" applyNumberFormat="1" applyFont="1"/>
    <xf numFmtId="0" fontId="131" fillId="0" borderId="0" xfId="8" applyFont="1" applyBorder="1" applyAlignment="1">
      <alignment horizontal="left" vertical="center"/>
    </xf>
    <xf numFmtId="3" fontId="118" fillId="0" borderId="0" xfId="1" applyNumberFormat="1" applyFont="1" applyAlignment="1">
      <alignment vertical="center"/>
    </xf>
    <xf numFmtId="0" fontId="132" fillId="29" borderId="0" xfId="8" applyFont="1" applyFill="1" applyBorder="1" applyAlignment="1" applyProtection="1">
      <alignment horizontal="center"/>
      <protection hidden="1"/>
    </xf>
    <xf numFmtId="0" fontId="133" fillId="28" borderId="0" xfId="8" applyFont="1" applyFill="1" applyBorder="1" applyAlignment="1" applyProtection="1">
      <alignment horizontal="center"/>
      <protection hidden="1"/>
    </xf>
    <xf numFmtId="0" fontId="134" fillId="0" borderId="0" xfId="0" applyFont="1" applyProtection="1">
      <protection hidden="1"/>
    </xf>
    <xf numFmtId="0" fontId="104" fillId="27" borderId="0" xfId="9" applyFont="1" applyFill="1" applyAlignment="1" applyProtection="1">
      <alignment horizontal="left" readingOrder="1"/>
      <protection hidden="1"/>
    </xf>
    <xf numFmtId="0" fontId="102" fillId="27" borderId="0" xfId="8" applyFont="1" applyFill="1" applyAlignment="1" applyProtection="1">
      <alignment horizontal="center"/>
      <protection hidden="1"/>
    </xf>
    <xf numFmtId="0" fontId="104" fillId="27" borderId="0" xfId="9" applyFont="1" applyFill="1" applyAlignment="1" applyProtection="1">
      <alignment horizontal="left" vertical="center" wrapText="1" readingOrder="1"/>
      <protection hidden="1"/>
    </xf>
    <xf numFmtId="0" fontId="103" fillId="27" borderId="0" xfId="8" applyFont="1" applyFill="1" applyAlignment="1" applyProtection="1">
      <alignment horizontal="center"/>
      <protection hidden="1"/>
    </xf>
    <xf numFmtId="17" fontId="79" fillId="0" borderId="0" xfId="0" applyNumberFormat="1" applyFont="1" applyBorder="1" applyAlignment="1" applyProtection="1">
      <alignment horizontal="center" vertical="center" wrapText="1"/>
      <protection hidden="1"/>
    </xf>
    <xf numFmtId="0" fontId="30" fillId="0" borderId="0" xfId="0" applyFont="1" applyAlignment="1" applyProtection="1">
      <alignment horizontal="left" vertical="center" wrapText="1"/>
      <protection hidden="1"/>
    </xf>
    <xf numFmtId="0" fontId="43" fillId="22" borderId="0" xfId="0" applyFont="1" applyFill="1" applyAlignment="1" applyProtection="1">
      <alignment horizontal="center" vertical="center" wrapText="1"/>
      <protection hidden="1"/>
    </xf>
    <xf numFmtId="0" fontId="27" fillId="0" borderId="0" xfId="0" applyFont="1" applyAlignment="1" applyProtection="1">
      <alignment horizontal="left" vertical="center" wrapText="1"/>
      <protection hidden="1"/>
    </xf>
    <xf numFmtId="0" fontId="27" fillId="0" borderId="9" xfId="0" applyFont="1" applyBorder="1" applyAlignment="1" applyProtection="1">
      <alignment horizontal="left" vertical="center" wrapText="1"/>
      <protection hidden="1"/>
    </xf>
    <xf numFmtId="0" fontId="83" fillId="0" borderId="0" xfId="0" applyFont="1" applyFill="1" applyBorder="1" applyAlignment="1" applyProtection="1">
      <alignment horizontal="center" vertical="center"/>
      <protection hidden="1"/>
    </xf>
    <xf numFmtId="0" fontId="48" fillId="0" borderId="0" xfId="0" applyFont="1" applyAlignment="1" applyProtection="1">
      <alignment horizontal="left" vertical="center" wrapText="1"/>
      <protection hidden="1"/>
    </xf>
    <xf numFmtId="0" fontId="90" fillId="26" borderId="22" xfId="7" applyFont="1" applyFill="1" applyBorder="1" applyAlignment="1" applyProtection="1">
      <alignment horizontal="center" vertical="center"/>
      <protection hidden="1"/>
    </xf>
    <xf numFmtId="0" fontId="90" fillId="26" borderId="23" xfId="7" applyFont="1" applyFill="1" applyBorder="1" applyAlignment="1" applyProtection="1">
      <alignment horizontal="center" vertical="center"/>
      <protection hidden="1"/>
    </xf>
    <xf numFmtId="0" fontId="90" fillId="26" borderId="24" xfId="7" applyFont="1" applyFill="1" applyBorder="1" applyAlignment="1" applyProtection="1">
      <alignment horizontal="center" vertical="center"/>
      <protection hidden="1"/>
    </xf>
    <xf numFmtId="0" fontId="90" fillId="26" borderId="25" xfId="7" applyFont="1" applyFill="1" applyBorder="1" applyAlignment="1" applyProtection="1">
      <alignment horizontal="center" vertical="center"/>
      <protection hidden="1"/>
    </xf>
    <xf numFmtId="0" fontId="83" fillId="0" borderId="7" xfId="0" applyFont="1" applyFill="1" applyBorder="1" applyAlignment="1" applyProtection="1">
      <alignment horizontal="center" vertical="center"/>
      <protection hidden="1"/>
    </xf>
    <xf numFmtId="0" fontId="85" fillId="24" borderId="7" xfId="0" applyFont="1" applyFill="1" applyBorder="1" applyAlignment="1" applyProtection="1">
      <alignment horizontal="center" vertical="center"/>
      <protection hidden="1"/>
    </xf>
    <xf numFmtId="0" fontId="85" fillId="24" borderId="9" xfId="0" applyFont="1" applyFill="1" applyBorder="1" applyAlignment="1" applyProtection="1">
      <alignment horizontal="center" vertical="center"/>
      <protection hidden="1"/>
    </xf>
    <xf numFmtId="0" fontId="85" fillId="23" borderId="7" xfId="0" applyFont="1" applyFill="1" applyBorder="1" applyAlignment="1" applyProtection="1">
      <alignment horizontal="center" vertical="center"/>
      <protection hidden="1"/>
    </xf>
    <xf numFmtId="0" fontId="85" fillId="23" borderId="9" xfId="0" applyFont="1" applyFill="1" applyBorder="1" applyAlignment="1" applyProtection="1">
      <alignment horizontal="center" vertical="center"/>
      <protection hidden="1"/>
    </xf>
    <xf numFmtId="166" fontId="84" fillId="0" borderId="20" xfId="0" applyNumberFormat="1" applyFont="1" applyFill="1" applyBorder="1" applyAlignment="1" applyProtection="1">
      <alignment horizontal="center" vertical="center"/>
      <protection hidden="1"/>
    </xf>
    <xf numFmtId="0" fontId="43" fillId="17" borderId="0" xfId="0" applyFont="1" applyFill="1" applyAlignment="1" applyProtection="1">
      <alignment horizontal="center" vertical="center" wrapText="1"/>
      <protection hidden="1"/>
    </xf>
    <xf numFmtId="0" fontId="70" fillId="19" borderId="11" xfId="3" applyFont="1" applyFill="1" applyBorder="1" applyAlignment="1">
      <alignment horizontal="center" wrapText="1"/>
    </xf>
    <xf numFmtId="0" fontId="71" fillId="20" borderId="0" xfId="3" applyFont="1" applyFill="1" applyBorder="1" applyAlignment="1">
      <alignment horizontal="center"/>
    </xf>
    <xf numFmtId="0" fontId="39" fillId="0" borderId="0" xfId="3" applyFont="1" applyBorder="1" applyAlignment="1">
      <alignment horizontal="center"/>
    </xf>
    <xf numFmtId="0" fontId="21" fillId="0" borderId="0" xfId="0" applyFont="1" applyAlignment="1">
      <alignment horizontal="center"/>
    </xf>
    <xf numFmtId="0" fontId="72" fillId="21" borderId="12" xfId="0" applyFont="1" applyFill="1" applyBorder="1" applyAlignment="1" applyProtection="1">
      <alignment horizontal="center"/>
      <protection hidden="1"/>
    </xf>
    <xf numFmtId="0" fontId="73" fillId="0" borderId="0" xfId="0" applyFont="1" applyAlignment="1" applyProtection="1">
      <alignment horizontal="right"/>
      <protection hidden="1"/>
    </xf>
    <xf numFmtId="0" fontId="32" fillId="7" borderId="0" xfId="4" applyFont="1" applyFill="1" applyAlignment="1">
      <alignment horizontal="left" vertical="center" wrapText="1"/>
    </xf>
    <xf numFmtId="0" fontId="74" fillId="0" borderId="0" xfId="4" applyFont="1" applyAlignment="1" applyProtection="1">
      <alignment horizontal="left" vertical="center" wrapText="1"/>
    </xf>
    <xf numFmtId="0" fontId="93" fillId="26" borderId="0" xfId="7" applyFont="1" applyFill="1" applyAlignment="1" applyProtection="1">
      <alignment horizontal="center" vertical="center"/>
      <protection hidden="1"/>
    </xf>
    <xf numFmtId="0" fontId="68" fillId="18" borderId="0" xfId="4" applyFont="1" applyFill="1" applyAlignment="1" applyProtection="1">
      <alignment horizontal="center" vertical="center"/>
      <protection hidden="1"/>
    </xf>
    <xf numFmtId="0" fontId="42" fillId="4" borderId="13" xfId="4" applyFont="1" applyFill="1" applyBorder="1" applyAlignment="1" applyProtection="1">
      <alignment horizontal="left" vertical="center"/>
      <protection hidden="1"/>
    </xf>
    <xf numFmtId="0" fontId="42" fillId="5" borderId="13" xfId="4" applyFont="1" applyFill="1" applyBorder="1" applyAlignment="1" applyProtection="1">
      <alignment horizontal="center" vertical="center"/>
      <protection hidden="1"/>
    </xf>
    <xf numFmtId="0" fontId="42" fillId="5" borderId="14" xfId="4" applyFont="1" applyFill="1" applyBorder="1" applyAlignment="1" applyProtection="1">
      <alignment horizontal="center" vertical="center"/>
      <protection hidden="1"/>
    </xf>
    <xf numFmtId="2" fontId="47" fillId="5" borderId="13" xfId="4" applyNumberFormat="1" applyFont="1" applyFill="1" applyBorder="1" applyAlignment="1" applyProtection="1">
      <alignment horizontal="center" vertical="center"/>
      <protection hidden="1"/>
    </xf>
    <xf numFmtId="2" fontId="47" fillId="5" borderId="14" xfId="4" applyNumberFormat="1" applyFont="1" applyFill="1" applyBorder="1" applyAlignment="1" applyProtection="1">
      <alignment horizontal="center" vertical="center"/>
      <protection hidden="1"/>
    </xf>
    <xf numFmtId="0" fontId="42" fillId="4" borderId="14" xfId="4" applyFont="1" applyFill="1" applyBorder="1" applyAlignment="1" applyProtection="1">
      <alignment horizontal="left" vertical="center" wrapText="1"/>
      <protection hidden="1"/>
    </xf>
    <xf numFmtId="0" fontId="75" fillId="18" borderId="0" xfId="4" applyFont="1" applyFill="1" applyAlignment="1" applyProtection="1">
      <alignment horizontal="center" vertical="center" textRotation="90"/>
      <protection hidden="1"/>
    </xf>
    <xf numFmtId="0" fontId="64" fillId="0" borderId="36" xfId="8" applyFont="1" applyBorder="1" applyAlignment="1" applyProtection="1">
      <alignment horizontal="center"/>
      <protection hidden="1"/>
    </xf>
    <xf numFmtId="0" fontId="116" fillId="24" borderId="0" xfId="8" applyFont="1" applyFill="1" applyBorder="1" applyAlignment="1" applyProtection="1">
      <alignment horizontal="center" wrapText="1"/>
      <protection hidden="1"/>
    </xf>
    <xf numFmtId="0" fontId="126" fillId="19" borderId="0" xfId="8" applyFont="1" applyFill="1" applyAlignment="1" applyProtection="1">
      <alignment horizontal="center" vertical="center" wrapText="1"/>
      <protection hidden="1"/>
    </xf>
    <xf numFmtId="0" fontId="64" fillId="0" borderId="0" xfId="8" applyFont="1" applyBorder="1" applyAlignment="1" applyProtection="1">
      <alignment horizontal="center"/>
      <protection hidden="1"/>
    </xf>
    <xf numFmtId="0" fontId="123" fillId="28" borderId="34" xfId="8" applyFont="1" applyFill="1" applyBorder="1" applyAlignment="1" applyProtection="1">
      <alignment horizontal="center" vertical="center"/>
      <protection hidden="1"/>
    </xf>
    <xf numFmtId="0" fontId="123" fillId="28" borderId="0" xfId="8" applyFont="1" applyFill="1" applyBorder="1" applyAlignment="1" applyProtection="1">
      <alignment horizontal="center" vertical="center"/>
      <protection hidden="1"/>
    </xf>
    <xf numFmtId="0" fontId="124" fillId="0" borderId="0" xfId="8" applyFont="1" applyAlignment="1" applyProtection="1">
      <alignment horizontal="center"/>
      <protection hidden="1"/>
    </xf>
    <xf numFmtId="0" fontId="119" fillId="11" borderId="6" xfId="8" applyFont="1" applyFill="1" applyBorder="1" applyAlignment="1" applyProtection="1">
      <alignment horizontal="center"/>
      <protection hidden="1"/>
    </xf>
    <xf numFmtId="0" fontId="50" fillId="0" borderId="0" xfId="0" applyFont="1" applyAlignment="1">
      <alignment horizontal="center" vertical="center" wrapText="1"/>
    </xf>
  </cellXfs>
  <cellStyles count="16">
    <cellStyle name="Comma" xfId="1" builtinId="3"/>
    <cellStyle name="Comma 2" xfId="13" xr:uid="{00000000-0005-0000-0000-000001000000}"/>
    <cellStyle name="Hyperlink" xfId="7" builtinId="8"/>
    <cellStyle name="Hyperlink 2" xfId="2" xr:uid="{00000000-0005-0000-0000-000003000000}"/>
    <cellStyle name="Hyperlink 3" xfId="9" xr:uid="{00000000-0005-0000-0000-000004000000}"/>
    <cellStyle name="Normal" xfId="0" builtinId="0"/>
    <cellStyle name="Normal 2" xfId="3" xr:uid="{00000000-0005-0000-0000-000006000000}"/>
    <cellStyle name="Normal 3" xfId="4" xr:uid="{00000000-0005-0000-0000-000007000000}"/>
    <cellStyle name="Normal 4" xfId="8" xr:uid="{00000000-0005-0000-0000-000008000000}"/>
    <cellStyle name="Normal 5" xfId="14" xr:uid="{00000000-0005-0000-0000-000009000000}"/>
    <cellStyle name="Normal 6" xfId="12" xr:uid="{00000000-0005-0000-0000-00000A000000}"/>
    <cellStyle name="Normal 6 2 2" xfId="10" xr:uid="{00000000-0005-0000-0000-00000B000000}"/>
    <cellStyle name="Normal 6 3" xfId="11" xr:uid="{00000000-0005-0000-0000-00000C000000}"/>
    <cellStyle name="Normal_test" xfId="5" xr:uid="{00000000-0005-0000-0000-00000D000000}"/>
    <cellStyle name="Percent 2" xfId="15" xr:uid="{00000000-0005-0000-0000-00000E000000}"/>
    <cellStyle name="rowfield" xfId="6" xr:uid="{00000000-0005-0000-0000-00000F000000}"/>
  </cellStyles>
  <dxfs count="4">
    <dxf>
      <font>
        <condense val="0"/>
        <extend val="0"/>
        <color indexed="18"/>
      </font>
      <fill>
        <patternFill>
          <bgColor indexed="43"/>
        </patternFill>
      </fill>
    </dxf>
    <dxf>
      <font>
        <condense val="0"/>
        <extend val="0"/>
        <color indexed="18"/>
      </font>
      <fill>
        <patternFill>
          <bgColor indexed="43"/>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theme" Target="theme/theme1.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2.xml" Id="rId2" /><Relationship Type="http://schemas.openxmlformats.org/officeDocument/2006/relationships/calcChain" Target="calcChain.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sharedStrings" Target="sharedStrings.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styles" Target="styles.xml" Id="rId14" /><Relationship Type="http://schemas.openxmlformats.org/officeDocument/2006/relationships/customXml" Target="/customXML/item2.xml" Id="Rf72dc6f92eeb488f"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7802778213976937E-2"/>
          <c:w val="0.82024448685568874"/>
          <c:h val="0.94888265747408618"/>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Comparison!$H$9:$H$87</c:f>
              <c:strCache>
                <c:ptCount val="79"/>
                <c:pt idx="0">
                  <c:v>Greater Dandenong </c:v>
                </c:pt>
                <c:pt idx="1">
                  <c:v>Brimbank </c:v>
                </c:pt>
                <c:pt idx="2">
                  <c:v>Latrobe </c:v>
                </c:pt>
                <c:pt idx="3">
                  <c:v>Moonee Valley </c:v>
                </c:pt>
                <c:pt idx="4">
                  <c:v>Maribyrnong </c:v>
                </c:pt>
                <c:pt idx="5">
                  <c:v>Warrnambool </c:v>
                </c:pt>
                <c:pt idx="6">
                  <c:v>Mildura </c:v>
                </c:pt>
                <c:pt idx="7">
                  <c:v>Central Goldfields </c:v>
                </c:pt>
                <c:pt idx="8">
                  <c:v>Ballarat </c:v>
                </c:pt>
                <c:pt idx="9">
                  <c:v>Monash </c:v>
                </c:pt>
                <c:pt idx="10">
                  <c:v>Maroondah </c:v>
                </c:pt>
                <c:pt idx="11">
                  <c:v>Greater Shepparton </c:v>
                </c:pt>
                <c:pt idx="12">
                  <c:v>Hume </c:v>
                </c:pt>
                <c:pt idx="13">
                  <c:v>East Gippsland </c:v>
                </c:pt>
                <c:pt idx="14">
                  <c:v>Kingston </c:v>
                </c:pt>
                <c:pt idx="15">
                  <c:v>Whittlesea </c:v>
                </c:pt>
                <c:pt idx="16">
                  <c:v>Horsham </c:v>
                </c:pt>
                <c:pt idx="17">
                  <c:v>Mornington Peninsula </c:v>
                </c:pt>
                <c:pt idx="18">
                  <c:v>Hobsons Bay </c:v>
                </c:pt>
                <c:pt idx="19">
                  <c:v>Wellington </c:v>
                </c:pt>
                <c:pt idx="20">
                  <c:v>Darebin </c:v>
                </c:pt>
                <c:pt idx="21">
                  <c:v>Glen Eira </c:v>
                </c:pt>
                <c:pt idx="22">
                  <c:v>Bass Coast </c:v>
                </c:pt>
                <c:pt idx="23">
                  <c:v>Greater Geelong </c:v>
                </c:pt>
                <c:pt idx="24">
                  <c:v>Melton </c:v>
                </c:pt>
                <c:pt idx="25">
                  <c:v>Knox </c:v>
                </c:pt>
                <c:pt idx="26">
                  <c:v>Banyule </c:v>
                </c:pt>
                <c:pt idx="27">
                  <c:v>Wyndham </c:v>
                </c:pt>
                <c:pt idx="28">
                  <c:v>Greater Bendigo </c:v>
                </c:pt>
                <c:pt idx="29">
                  <c:v>Frankston </c:v>
                </c:pt>
                <c:pt idx="30">
                  <c:v>Manningham </c:v>
                </c:pt>
                <c:pt idx="31">
                  <c:v>Mitchell </c:v>
                </c:pt>
                <c:pt idx="32">
                  <c:v>Melbourne </c:v>
                </c:pt>
                <c:pt idx="33">
                  <c:v>Ararat </c:v>
                </c:pt>
                <c:pt idx="34">
                  <c:v>Swan Hill </c:v>
                </c:pt>
                <c:pt idx="35">
                  <c:v>Casey </c:v>
                </c:pt>
                <c:pt idx="36">
                  <c:v>Southern Grampians </c:v>
                </c:pt>
                <c:pt idx="37">
                  <c:v>Benalla </c:v>
                </c:pt>
                <c:pt idx="38">
                  <c:v>Colac-Otway </c:v>
                </c:pt>
                <c:pt idx="39">
                  <c:v>Glenelg </c:v>
                </c:pt>
                <c:pt idx="40">
                  <c:v>Northern Grampians </c:v>
                </c:pt>
                <c:pt idx="41">
                  <c:v>Moreland </c:v>
                </c:pt>
                <c:pt idx="42">
                  <c:v>Baw Baw </c:v>
                </c:pt>
                <c:pt idx="43">
                  <c:v>Alpine </c:v>
                </c:pt>
                <c:pt idx="44">
                  <c:v>Wangaratta </c:v>
                </c:pt>
                <c:pt idx="45">
                  <c:v>Whitehorse </c:v>
                </c:pt>
                <c:pt idx="46">
                  <c:v>Moorabool </c:v>
                </c:pt>
                <c:pt idx="47">
                  <c:v>Cardinia </c:v>
                </c:pt>
                <c:pt idx="48">
                  <c:v>Yarra </c:v>
                </c:pt>
                <c:pt idx="49">
                  <c:v>Campaspe </c:v>
                </c:pt>
                <c:pt idx="50">
                  <c:v>Port Phillip </c:v>
                </c:pt>
                <c:pt idx="51">
                  <c:v>South Gippsland </c:v>
                </c:pt>
                <c:pt idx="52">
                  <c:v>Macedon Ranges </c:v>
                </c:pt>
                <c:pt idx="53">
                  <c:v>Wodonga </c:v>
                </c:pt>
                <c:pt idx="54">
                  <c:v>Yarra Ranges </c:v>
                </c:pt>
                <c:pt idx="55">
                  <c:v>Gannawarra </c:v>
                </c:pt>
                <c:pt idx="56">
                  <c:v>Corangamite </c:v>
                </c:pt>
                <c:pt idx="57">
                  <c:v>Mansfield </c:v>
                </c:pt>
                <c:pt idx="58">
                  <c:v>Hepburn </c:v>
                </c:pt>
                <c:pt idx="59">
                  <c:v>Stonnington </c:v>
                </c:pt>
                <c:pt idx="60">
                  <c:v>Nillumbik </c:v>
                </c:pt>
                <c:pt idx="61">
                  <c:v>Mount Alexander </c:v>
                </c:pt>
                <c:pt idx="62">
                  <c:v>Moira </c:v>
                </c:pt>
                <c:pt idx="63">
                  <c:v>Strathbogie </c:v>
                </c:pt>
                <c:pt idx="64">
                  <c:v>Bayside </c:v>
                </c:pt>
                <c:pt idx="65">
                  <c:v>Surf Coast </c:v>
                </c:pt>
                <c:pt idx="66">
                  <c:v>Boroondara </c:v>
                </c:pt>
                <c:pt idx="67">
                  <c:v>Murrindindi </c:v>
                </c:pt>
                <c:pt idx="68">
                  <c:v>Towong </c:v>
                </c:pt>
                <c:pt idx="69">
                  <c:v>Yarriambiack </c:v>
                </c:pt>
                <c:pt idx="70">
                  <c:v>West Wimmera </c:v>
                </c:pt>
                <c:pt idx="71">
                  <c:v>Queenscliffe </c:v>
                </c:pt>
                <c:pt idx="72">
                  <c:v>Pyrenees </c:v>
                </c:pt>
                <c:pt idx="73">
                  <c:v>Moyne </c:v>
                </c:pt>
                <c:pt idx="74">
                  <c:v>Loddon </c:v>
                </c:pt>
                <c:pt idx="75">
                  <c:v>Indigo </c:v>
                </c:pt>
                <c:pt idx="76">
                  <c:v>Hindmarsh </c:v>
                </c:pt>
                <c:pt idx="77">
                  <c:v>Golden Plains </c:v>
                </c:pt>
                <c:pt idx="78">
                  <c:v>Buloke </c:v>
                </c:pt>
              </c:strCache>
            </c:strRef>
          </c:cat>
          <c:val>
            <c:numRef>
              <c:f>Comparison!$I$9:$I$87</c:f>
              <c:numCache>
                <c:formatCode>General</c:formatCode>
                <c:ptCount val="79"/>
                <c:pt idx="0">
                  <c:v>909.71012870301331</c:v>
                </c:pt>
                <c:pt idx="1">
                  <c:v>879.04097694057225</c:v>
                </c:pt>
                <c:pt idx="2">
                  <c:v>778.75745982092235</c:v>
                </c:pt>
                <c:pt idx="3">
                  <c:v>754.414038014276</c:v>
                </c:pt>
                <c:pt idx="4">
                  <c:v>752.67167537479452</c:v>
                </c:pt>
                <c:pt idx="5">
                  <c:v>713.37714023571675</c:v>
                </c:pt>
                <c:pt idx="6">
                  <c:v>699.69287114449901</c:v>
                </c:pt>
                <c:pt idx="7">
                  <c:v>694.10584305524526</c:v>
                </c:pt>
                <c:pt idx="8">
                  <c:v>690.12590842183511</c:v>
                </c:pt>
                <c:pt idx="9">
                  <c:v>685.90752121803405</c:v>
                </c:pt>
                <c:pt idx="10">
                  <c:v>685.56462022756671</c:v>
                </c:pt>
                <c:pt idx="11">
                  <c:v>675.91086566481283</c:v>
                </c:pt>
                <c:pt idx="12">
                  <c:v>663.77683801816295</c:v>
                </c:pt>
                <c:pt idx="13">
                  <c:v>663.44825282123475</c:v>
                </c:pt>
                <c:pt idx="14">
                  <c:v>663.15875641020534</c:v>
                </c:pt>
                <c:pt idx="15">
                  <c:v>655.09147711588071</c:v>
                </c:pt>
                <c:pt idx="16">
                  <c:v>646.46192685344852</c:v>
                </c:pt>
                <c:pt idx="17">
                  <c:v>631.38686041720678</c:v>
                </c:pt>
                <c:pt idx="18">
                  <c:v>624.90993332272228</c:v>
                </c:pt>
                <c:pt idx="19">
                  <c:v>620.62279486964349</c:v>
                </c:pt>
                <c:pt idx="20">
                  <c:v>620.43565653687995</c:v>
                </c:pt>
                <c:pt idx="21">
                  <c:v>616.72503379850082</c:v>
                </c:pt>
                <c:pt idx="22">
                  <c:v>614.81743241464687</c:v>
                </c:pt>
                <c:pt idx="23">
                  <c:v>597.49104562796117</c:v>
                </c:pt>
                <c:pt idx="24">
                  <c:v>590.01180443416172</c:v>
                </c:pt>
                <c:pt idx="25">
                  <c:v>575.68478628725529</c:v>
                </c:pt>
                <c:pt idx="26">
                  <c:v>566.48739440605232</c:v>
                </c:pt>
                <c:pt idx="27">
                  <c:v>564.79211069450093</c:v>
                </c:pt>
                <c:pt idx="28">
                  <c:v>564.29809471951057</c:v>
                </c:pt>
                <c:pt idx="29">
                  <c:v>561.63894684437184</c:v>
                </c:pt>
                <c:pt idx="30">
                  <c:v>555.69711007238811</c:v>
                </c:pt>
                <c:pt idx="31">
                  <c:v>552.08738949566418</c:v>
                </c:pt>
                <c:pt idx="32">
                  <c:v>546.73919577930337</c:v>
                </c:pt>
                <c:pt idx="33">
                  <c:v>531.11557533897121</c:v>
                </c:pt>
                <c:pt idx="34">
                  <c:v>528.30959679599732</c:v>
                </c:pt>
                <c:pt idx="35">
                  <c:v>523.5307280262557</c:v>
                </c:pt>
                <c:pt idx="36">
                  <c:v>491.33869181392754</c:v>
                </c:pt>
                <c:pt idx="37">
                  <c:v>483.34662323122092</c:v>
                </c:pt>
                <c:pt idx="38">
                  <c:v>470.97948491351343</c:v>
                </c:pt>
                <c:pt idx="39">
                  <c:v>446.13076821649537</c:v>
                </c:pt>
                <c:pt idx="40">
                  <c:v>438.9593455338424</c:v>
                </c:pt>
                <c:pt idx="41">
                  <c:v>428.75381924834983</c:v>
                </c:pt>
                <c:pt idx="42">
                  <c:v>426.64514847128879</c:v>
                </c:pt>
                <c:pt idx="43">
                  <c:v>423.74241605263734</c:v>
                </c:pt>
                <c:pt idx="44">
                  <c:v>388.84827084260337</c:v>
                </c:pt>
                <c:pt idx="45">
                  <c:v>376.92578747920129</c:v>
                </c:pt>
                <c:pt idx="46">
                  <c:v>366.74231554606769</c:v>
                </c:pt>
                <c:pt idx="47">
                  <c:v>355.5343228988956</c:v>
                </c:pt>
                <c:pt idx="48">
                  <c:v>352.66372891334589</c:v>
                </c:pt>
                <c:pt idx="49">
                  <c:v>299.78579819019876</c:v>
                </c:pt>
                <c:pt idx="50">
                  <c:v>287.2870466471951</c:v>
                </c:pt>
                <c:pt idx="51">
                  <c:v>274.29277548174019</c:v>
                </c:pt>
                <c:pt idx="52">
                  <c:v>254.96962457171273</c:v>
                </c:pt>
                <c:pt idx="53">
                  <c:v>241.00184319462673</c:v>
                </c:pt>
                <c:pt idx="54">
                  <c:v>239.7278076825306</c:v>
                </c:pt>
                <c:pt idx="55">
                  <c:v>230.37670549144519</c:v>
                </c:pt>
                <c:pt idx="56">
                  <c:v>220.26601021331925</c:v>
                </c:pt>
                <c:pt idx="57">
                  <c:v>216.69349245141223</c:v>
                </c:pt>
                <c:pt idx="58">
                  <c:v>205.73197737593026</c:v>
                </c:pt>
                <c:pt idx="59">
                  <c:v>200.70229180926901</c:v>
                </c:pt>
                <c:pt idx="60">
                  <c:v>199.46329407266086</c:v>
                </c:pt>
                <c:pt idx="61">
                  <c:v>186.53251482370152</c:v>
                </c:pt>
                <c:pt idx="62">
                  <c:v>173.35050375446082</c:v>
                </c:pt>
                <c:pt idx="63">
                  <c:v>169.44790935586451</c:v>
                </c:pt>
                <c:pt idx="64">
                  <c:v>167.5004220061162</c:v>
                </c:pt>
                <c:pt idx="65">
                  <c:v>145.78714399005511</c:v>
                </c:pt>
                <c:pt idx="66">
                  <c:v>142.59772776809572</c:v>
                </c:pt>
                <c:pt idx="67">
                  <c:v>122.60345502462759</c:v>
                </c:pt>
                <c:pt idx="68">
                  <c:v>44.244416198152166</c:v>
                </c:pt>
                <c:pt idx="69">
                  <c:v>0</c:v>
                </c:pt>
                <c:pt idx="70">
                  <c:v>0</c:v>
                </c:pt>
                <c:pt idx="71">
                  <c:v>0</c:v>
                </c:pt>
                <c:pt idx="72">
                  <c:v>0</c:v>
                </c:pt>
                <c:pt idx="73">
                  <c:v>0</c:v>
                </c:pt>
                <c:pt idx="74">
                  <c:v>0</c:v>
                </c:pt>
                <c:pt idx="75">
                  <c:v>0</c:v>
                </c:pt>
                <c:pt idx="76">
                  <c:v>0</c:v>
                </c:pt>
                <c:pt idx="77">
                  <c:v>0</c:v>
                </c:pt>
                <c:pt idx="78">
                  <c:v>0</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00534191541838E-2"/>
          <c:y val="4.5293298418277332E-2"/>
          <c:w val="0.87850764037726559"/>
          <c:h val="0.7293118682966131"/>
        </c:manualLayout>
      </c:layout>
      <c:barChart>
        <c:barDir val="col"/>
        <c:grouping val="clustered"/>
        <c:varyColors val="0"/>
        <c:ser>
          <c:idx val="1"/>
          <c:order val="0"/>
          <c:tx>
            <c:strRef>
              <c:f>Correlations!$R$10</c:f>
              <c:strCache>
                <c:ptCount val="1"/>
                <c:pt idx="0">
                  <c:v>Unemployment Rate March 2019</c:v>
                </c:pt>
              </c:strCache>
            </c:strRef>
          </c:tx>
          <c:spPr>
            <a:solidFill>
              <a:srgbClr val="99CCFF"/>
            </a:solidFill>
            <a:ln w="12700">
              <a:solidFill>
                <a:srgbClr val="000000"/>
              </a:solidFill>
              <a:prstDash val="solid"/>
            </a:ln>
            <a:effectLst>
              <a:outerShdw dist="35921" dir="2700000" algn="br">
                <a:srgbClr val="000000"/>
              </a:outerShdw>
            </a:effectLst>
          </c:spPr>
          <c:invertIfNegative val="0"/>
          <c:cat>
            <c:strRef>
              <c:f>Correlations!$U$16:$AY$16</c:f>
              <c:strCache>
                <c:ptCount val="31"/>
                <c:pt idx="0">
                  <c:v>Brimbank </c:v>
                </c:pt>
                <c:pt idx="1">
                  <c:v>Hume </c:v>
                </c:pt>
                <c:pt idx="2">
                  <c:v>Greater Dandenong </c:v>
                </c:pt>
                <c:pt idx="3">
                  <c:v>Melton</c:v>
                </c:pt>
                <c:pt idx="4">
                  <c:v>Wyndham </c:v>
                </c:pt>
                <c:pt idx="5">
                  <c:v>Whittlesea </c:v>
                </c:pt>
                <c:pt idx="6">
                  <c:v>Moreland </c:v>
                </c:pt>
                <c:pt idx="7">
                  <c:v>Frankston </c:v>
                </c:pt>
                <c:pt idx="8">
                  <c:v>Darebin </c:v>
                </c:pt>
                <c:pt idx="9">
                  <c:v>Casey </c:v>
                </c:pt>
                <c:pt idx="10">
                  <c:v>Yarra </c:v>
                </c:pt>
                <c:pt idx="11">
                  <c:v>Maribyrnong </c:v>
                </c:pt>
                <c:pt idx="12">
                  <c:v>Cardinia</c:v>
                </c:pt>
                <c:pt idx="13">
                  <c:v>Whitehorse </c:v>
                </c:pt>
                <c:pt idx="14">
                  <c:v>Moonee Valley </c:v>
                </c:pt>
                <c:pt idx="15">
                  <c:v>Manningham </c:v>
                </c:pt>
                <c:pt idx="16">
                  <c:v>Kingston </c:v>
                </c:pt>
                <c:pt idx="17">
                  <c:v>Port Phillip </c:v>
                </c:pt>
                <c:pt idx="18">
                  <c:v>Hobsons Bay</c:v>
                </c:pt>
                <c:pt idx="19">
                  <c:v>Yarra Ranges</c:v>
                </c:pt>
                <c:pt idx="20">
                  <c:v>Maroondah </c:v>
                </c:pt>
                <c:pt idx="21">
                  <c:v>Mornington Pen.</c:v>
                </c:pt>
                <c:pt idx="22">
                  <c:v>Knox </c:v>
                </c:pt>
                <c:pt idx="23">
                  <c:v>Melbourne </c:v>
                </c:pt>
                <c:pt idx="24">
                  <c:v>Banyule </c:v>
                </c:pt>
                <c:pt idx="25">
                  <c:v>Glen Eira </c:v>
                </c:pt>
                <c:pt idx="26">
                  <c:v>Boroondara </c:v>
                </c:pt>
                <c:pt idx="27">
                  <c:v>Bayside </c:v>
                </c:pt>
                <c:pt idx="28">
                  <c:v>Stonnington </c:v>
                </c:pt>
                <c:pt idx="29">
                  <c:v>Monash </c:v>
                </c:pt>
                <c:pt idx="30">
                  <c:v>Nillumbik</c:v>
                </c:pt>
              </c:strCache>
            </c:strRef>
          </c:cat>
          <c:val>
            <c:numRef>
              <c:f>Correlations!$U$14:$AY$14</c:f>
              <c:numCache>
                <c:formatCode>0.0</c:formatCode>
                <c:ptCount val="31"/>
                <c:pt idx="0">
                  <c:v>8.6000399999999999</c:v>
                </c:pt>
                <c:pt idx="1">
                  <c:v>7.8001199999999997</c:v>
                </c:pt>
                <c:pt idx="2">
                  <c:v>7.7000999999999999</c:v>
                </c:pt>
                <c:pt idx="3">
                  <c:v>6.7001900000000001</c:v>
                </c:pt>
                <c:pt idx="4">
                  <c:v>5.7002899999999999</c:v>
                </c:pt>
                <c:pt idx="5">
                  <c:v>5.6002799999999997</c:v>
                </c:pt>
                <c:pt idx="6">
                  <c:v>5.40022</c:v>
                </c:pt>
                <c:pt idx="7">
                  <c:v>5.40008</c:v>
                </c:pt>
                <c:pt idx="8">
                  <c:v>5.4000700000000004</c:v>
                </c:pt>
                <c:pt idx="9">
                  <c:v>5.4000600000000007</c:v>
                </c:pt>
                <c:pt idx="10">
                  <c:v>5.3003</c:v>
                </c:pt>
                <c:pt idx="11">
                  <c:v>5.2001600000000003</c:v>
                </c:pt>
                <c:pt idx="12">
                  <c:v>5.0000499999999999</c:v>
                </c:pt>
                <c:pt idx="13">
                  <c:v>4.6002700000000001</c:v>
                </c:pt>
                <c:pt idx="14">
                  <c:v>4.50021</c:v>
                </c:pt>
                <c:pt idx="15">
                  <c:v>4.40015</c:v>
                </c:pt>
                <c:pt idx="16">
                  <c:v>4.4001300000000008</c:v>
                </c:pt>
                <c:pt idx="17">
                  <c:v>4.3002500000000001</c:v>
                </c:pt>
                <c:pt idx="18">
                  <c:v>4.3001100000000001</c:v>
                </c:pt>
                <c:pt idx="19">
                  <c:v>4.20031</c:v>
                </c:pt>
                <c:pt idx="20">
                  <c:v>4.1001699999999994</c:v>
                </c:pt>
                <c:pt idx="21">
                  <c:v>3.80023</c:v>
                </c:pt>
                <c:pt idx="22">
                  <c:v>3.8001399999999999</c:v>
                </c:pt>
                <c:pt idx="23">
                  <c:v>3.70018</c:v>
                </c:pt>
                <c:pt idx="24">
                  <c:v>3.5000100000000001</c:v>
                </c:pt>
                <c:pt idx="25">
                  <c:v>3.1000900000000002</c:v>
                </c:pt>
                <c:pt idx="26">
                  <c:v>2.9000300000000001</c:v>
                </c:pt>
                <c:pt idx="27">
                  <c:v>2.80002</c:v>
                </c:pt>
                <c:pt idx="28">
                  <c:v>2.5002599999999999</c:v>
                </c:pt>
                <c:pt idx="29">
                  <c:v>2.5002</c:v>
                </c:pt>
                <c:pt idx="30">
                  <c:v>2.0002399999999998</c:v>
                </c:pt>
              </c:numCache>
            </c:numRef>
          </c:val>
          <c:extLst>
            <c:ext xmlns:c16="http://schemas.microsoft.com/office/drawing/2014/chart" uri="{C3380CC4-5D6E-409C-BE32-E72D297353CC}">
              <c16:uniqueId val="{00000000-E849-478A-986D-C4A3B8DCB2FC}"/>
            </c:ext>
          </c:extLst>
        </c:ser>
        <c:dLbls>
          <c:showLegendKey val="0"/>
          <c:showVal val="0"/>
          <c:showCatName val="0"/>
          <c:showSerName val="0"/>
          <c:showPercent val="0"/>
          <c:showBubbleSize val="0"/>
        </c:dLbls>
        <c:gapWidth val="90"/>
        <c:axId val="231406592"/>
        <c:axId val="231626240"/>
      </c:barChart>
      <c:lineChart>
        <c:grouping val="standard"/>
        <c:varyColors val="0"/>
        <c:ser>
          <c:idx val="0"/>
          <c:order val="1"/>
          <c:tx>
            <c:strRef>
              <c:f>Correlations!$R$11</c:f>
              <c:strCache>
                <c:ptCount val="1"/>
                <c:pt idx="0">
                  <c:v>Losses per adult: 2018/19</c:v>
                </c:pt>
              </c:strCache>
            </c:strRef>
          </c:tx>
          <c:spPr>
            <a:ln w="28575">
              <a:noFill/>
            </a:ln>
          </c:spPr>
          <c:marker>
            <c:symbol val="none"/>
          </c:marker>
          <c:trendline>
            <c:spPr>
              <a:ln w="22225"/>
            </c:spPr>
            <c:trendlineType val="poly"/>
            <c:order val="3"/>
            <c:dispRSqr val="0"/>
            <c:dispEq val="0"/>
          </c:trendline>
          <c:cat>
            <c:strRef>
              <c:f>Correlations!$U$16:$AY$16</c:f>
              <c:strCache>
                <c:ptCount val="31"/>
                <c:pt idx="0">
                  <c:v>Brimbank </c:v>
                </c:pt>
                <c:pt idx="1">
                  <c:v>Hume </c:v>
                </c:pt>
                <c:pt idx="2">
                  <c:v>Greater Dandenong </c:v>
                </c:pt>
                <c:pt idx="3">
                  <c:v>Melton</c:v>
                </c:pt>
                <c:pt idx="4">
                  <c:v>Wyndham </c:v>
                </c:pt>
                <c:pt idx="5">
                  <c:v>Whittlesea </c:v>
                </c:pt>
                <c:pt idx="6">
                  <c:v>Moreland </c:v>
                </c:pt>
                <c:pt idx="7">
                  <c:v>Frankston </c:v>
                </c:pt>
                <c:pt idx="8">
                  <c:v>Darebin </c:v>
                </c:pt>
                <c:pt idx="9">
                  <c:v>Casey </c:v>
                </c:pt>
                <c:pt idx="10">
                  <c:v>Yarra </c:v>
                </c:pt>
                <c:pt idx="11">
                  <c:v>Maribyrnong </c:v>
                </c:pt>
                <c:pt idx="12">
                  <c:v>Cardinia</c:v>
                </c:pt>
                <c:pt idx="13">
                  <c:v>Whitehorse </c:v>
                </c:pt>
                <c:pt idx="14">
                  <c:v>Moonee Valley </c:v>
                </c:pt>
                <c:pt idx="15">
                  <c:v>Manningham </c:v>
                </c:pt>
                <c:pt idx="16">
                  <c:v>Kingston </c:v>
                </c:pt>
                <c:pt idx="17">
                  <c:v>Port Phillip </c:v>
                </c:pt>
                <c:pt idx="18">
                  <c:v>Hobsons Bay</c:v>
                </c:pt>
                <c:pt idx="19">
                  <c:v>Yarra Ranges</c:v>
                </c:pt>
                <c:pt idx="20">
                  <c:v>Maroondah </c:v>
                </c:pt>
                <c:pt idx="21">
                  <c:v>Mornington Pen.</c:v>
                </c:pt>
                <c:pt idx="22">
                  <c:v>Knox </c:v>
                </c:pt>
                <c:pt idx="23">
                  <c:v>Melbourne </c:v>
                </c:pt>
                <c:pt idx="24">
                  <c:v>Banyule </c:v>
                </c:pt>
                <c:pt idx="25">
                  <c:v>Glen Eira </c:v>
                </c:pt>
                <c:pt idx="26">
                  <c:v>Boroondara </c:v>
                </c:pt>
                <c:pt idx="27">
                  <c:v>Bayside </c:v>
                </c:pt>
                <c:pt idx="28">
                  <c:v>Stonnington </c:v>
                </c:pt>
                <c:pt idx="29">
                  <c:v>Monash </c:v>
                </c:pt>
                <c:pt idx="30">
                  <c:v>Nillumbik</c:v>
                </c:pt>
              </c:strCache>
            </c:strRef>
          </c:cat>
          <c:val>
            <c:numRef>
              <c:f>Correlations!$U$15:$AY$15</c:f>
              <c:numCache>
                <c:formatCode>0.0</c:formatCode>
                <c:ptCount val="31"/>
                <c:pt idx="0">
                  <c:v>879.04137694057226</c:v>
                </c:pt>
                <c:pt idx="1">
                  <c:v>663.77803801816299</c:v>
                </c:pt>
                <c:pt idx="2">
                  <c:v>909.71112870301329</c:v>
                </c:pt>
                <c:pt idx="3">
                  <c:v>575.98473788898173</c:v>
                </c:pt>
                <c:pt idx="4">
                  <c:v>564.79501069450089</c:v>
                </c:pt>
                <c:pt idx="5">
                  <c:v>655.09427711588069</c:v>
                </c:pt>
                <c:pt idx="6">
                  <c:v>428.75601924834984</c:v>
                </c:pt>
                <c:pt idx="7">
                  <c:v>561.63974684437187</c:v>
                </c:pt>
                <c:pt idx="8">
                  <c:v>620.43635653688</c:v>
                </c:pt>
                <c:pt idx="9">
                  <c:v>523.53132802625566</c:v>
                </c:pt>
                <c:pt idx="10">
                  <c:v>352.66672891334588</c:v>
                </c:pt>
                <c:pt idx="11">
                  <c:v>752.67327537479457</c:v>
                </c:pt>
                <c:pt idx="12">
                  <c:v>355.53482289889558</c:v>
                </c:pt>
                <c:pt idx="13">
                  <c:v>376.92848747920129</c:v>
                </c:pt>
                <c:pt idx="14">
                  <c:v>754.41613801427604</c:v>
                </c:pt>
                <c:pt idx="15">
                  <c:v>555.69861007238808</c:v>
                </c:pt>
                <c:pt idx="16">
                  <c:v>663.16005641020536</c:v>
                </c:pt>
                <c:pt idx="17">
                  <c:v>287.2895466471951</c:v>
                </c:pt>
                <c:pt idx="18">
                  <c:v>624.91103332272223</c:v>
                </c:pt>
                <c:pt idx="19">
                  <c:v>239.73090768253059</c:v>
                </c:pt>
                <c:pt idx="20">
                  <c:v>685.56632022756673</c:v>
                </c:pt>
                <c:pt idx="21">
                  <c:v>631.38916041720677</c:v>
                </c:pt>
                <c:pt idx="22">
                  <c:v>575.68618628725528</c:v>
                </c:pt>
                <c:pt idx="23">
                  <c:v>546.74099577930338</c:v>
                </c:pt>
                <c:pt idx="24">
                  <c:v>566.48749440605229</c:v>
                </c:pt>
                <c:pt idx="25">
                  <c:v>616.72593379850082</c:v>
                </c:pt>
                <c:pt idx="26">
                  <c:v>142.59802776809573</c:v>
                </c:pt>
                <c:pt idx="27">
                  <c:v>167.5006220061162</c:v>
                </c:pt>
                <c:pt idx="28">
                  <c:v>200.70489180926901</c:v>
                </c:pt>
                <c:pt idx="29">
                  <c:v>685.909521218034</c:v>
                </c:pt>
                <c:pt idx="30">
                  <c:v>199.46569407266085</c:v>
                </c:pt>
              </c:numCache>
            </c:numRef>
          </c:val>
          <c:smooth val="1"/>
          <c:extLst>
            <c:ext xmlns:c16="http://schemas.microsoft.com/office/drawing/2014/chart" uri="{C3380CC4-5D6E-409C-BE32-E72D297353CC}">
              <c16:uniqueId val="{00000002-E849-478A-986D-C4A3B8DCB2FC}"/>
            </c:ext>
          </c:extLst>
        </c:ser>
        <c:dLbls>
          <c:showLegendKey val="0"/>
          <c:showVal val="0"/>
          <c:showCatName val="0"/>
          <c:showSerName val="0"/>
          <c:showPercent val="0"/>
          <c:showBubbleSize val="0"/>
        </c:dLbls>
        <c:marker val="1"/>
        <c:smooth val="0"/>
        <c:axId val="231634816"/>
        <c:axId val="231643392"/>
      </c:lineChart>
      <c:catAx>
        <c:axId val="231406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750" b="0" i="0" u="none" strike="noStrike" baseline="0">
                <a:solidFill>
                  <a:srgbClr val="000000"/>
                </a:solidFill>
                <a:latin typeface="Times New Roman"/>
                <a:ea typeface="Times New Roman"/>
                <a:cs typeface="Times New Roman"/>
              </a:defRPr>
            </a:pPr>
            <a:endParaRPr lang="en-US"/>
          </a:p>
        </c:txPr>
        <c:crossAx val="231626240"/>
        <c:crosses val="autoZero"/>
        <c:auto val="0"/>
        <c:lblAlgn val="ctr"/>
        <c:lblOffset val="100"/>
        <c:tickLblSkip val="1"/>
        <c:tickMarkSkip val="1"/>
        <c:noMultiLvlLbl val="0"/>
      </c:catAx>
      <c:valAx>
        <c:axId val="231626240"/>
        <c:scaling>
          <c:orientation val="minMax"/>
        </c:scaling>
        <c:delete val="0"/>
        <c:axPos val="l"/>
        <c:numFmt formatCode="0" sourceLinked="0"/>
        <c:majorTickMark val="none"/>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Times New Roman"/>
                <a:ea typeface="Times New Roman"/>
                <a:cs typeface="Times New Roman"/>
              </a:defRPr>
            </a:pPr>
            <a:endParaRPr lang="en-US"/>
          </a:p>
        </c:txPr>
        <c:crossAx val="231406592"/>
        <c:crosses val="autoZero"/>
        <c:crossBetween val="between"/>
      </c:valAx>
      <c:catAx>
        <c:axId val="231634816"/>
        <c:scaling>
          <c:orientation val="minMax"/>
        </c:scaling>
        <c:delete val="1"/>
        <c:axPos val="b"/>
        <c:numFmt formatCode="General" sourceLinked="1"/>
        <c:majorTickMark val="out"/>
        <c:minorTickMark val="none"/>
        <c:tickLblPos val="none"/>
        <c:crossAx val="231643392"/>
        <c:crosses val="autoZero"/>
        <c:auto val="0"/>
        <c:lblAlgn val="ctr"/>
        <c:lblOffset val="100"/>
        <c:noMultiLvlLbl val="0"/>
      </c:catAx>
      <c:valAx>
        <c:axId val="231643392"/>
        <c:scaling>
          <c:orientation val="minMax"/>
        </c:scaling>
        <c:delete val="0"/>
        <c:axPos val="r"/>
        <c:numFmt formatCode="0" sourceLinked="0"/>
        <c:majorTickMark val="none"/>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Times New Roman"/>
                <a:ea typeface="Times New Roman"/>
                <a:cs typeface="Times New Roman"/>
              </a:defRPr>
            </a:pPr>
            <a:endParaRPr lang="en-US"/>
          </a:p>
        </c:txPr>
        <c:crossAx val="231634816"/>
        <c:crosses val="max"/>
        <c:crossBetween val="between"/>
      </c:valAx>
      <c:spPr>
        <a:noFill/>
        <a:ln w="25400">
          <a:noFill/>
        </a:ln>
      </c:spPr>
    </c:plotArea>
    <c:legend>
      <c:legendPos val="r"/>
      <c:layout>
        <c:manualLayout>
          <c:xMode val="edge"/>
          <c:yMode val="edge"/>
          <c:x val="0.1147543433226117"/>
          <c:y val="1.2345740873299885E-2"/>
          <c:w val="0.66642195603553633"/>
          <c:h val="0.10617275113338141"/>
        </c:manualLayout>
      </c:layout>
      <c:overlay val="0"/>
      <c:spPr>
        <a:noFill/>
        <a:ln w="25400">
          <a:noFill/>
        </a:ln>
      </c:spPr>
      <c:txPr>
        <a:bodyPr/>
        <a:lstStyle/>
        <a:p>
          <a:pPr>
            <a:defRPr sz="62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w="9525">
      <a:noFill/>
    </a:ln>
  </c:spPr>
  <c:txPr>
    <a:bodyPr/>
    <a:lstStyle/>
    <a:p>
      <a:pPr>
        <a:defRPr sz="75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1" l="0.75000000000000211" r="0.75000000000000211"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68557365381676E-2"/>
          <c:y val="1.5595542909643854E-2"/>
          <c:w val="0.9060282318717896"/>
          <c:h val="0.8896826216446887"/>
        </c:manualLayout>
      </c:layout>
      <c:scatterChart>
        <c:scatterStyle val="lineMarker"/>
        <c:varyColors val="0"/>
        <c:ser>
          <c:idx val="0"/>
          <c:order val="0"/>
          <c:tx>
            <c:strRef>
              <c:f>Correlations!$C$5</c:f>
              <c:strCache>
                <c:ptCount val="1"/>
                <c:pt idx="0">
                  <c:v>Unemployment Rate March 2019</c:v>
                </c:pt>
              </c:strCache>
            </c:strRef>
          </c:tx>
          <c:spPr>
            <a:ln w="28575">
              <a:noFill/>
            </a:ln>
            <a:effectLst>
              <a:outerShdw blurRad="50800" dist="38100" dir="18900000" algn="bl" rotWithShape="0">
                <a:prstClr val="black">
                  <a:alpha val="40000"/>
                </a:prstClr>
              </a:outerShdw>
            </a:effectLst>
          </c:spPr>
          <c:marker>
            <c:symbol val="circle"/>
            <c:size val="5"/>
            <c:spPr>
              <a:solidFill>
                <a:schemeClr val="accent2">
                  <a:lumMod val="50000"/>
                </a:schemeClr>
              </a:solidFill>
              <a:ln>
                <a:solidFill>
                  <a:srgbClr val="008000"/>
                </a:solidFill>
                <a:prstDash val="solid"/>
              </a:ln>
              <a:effectLst>
                <a:outerShdw blurRad="50800" dist="38100" dir="18900000" algn="bl" rotWithShape="0">
                  <a:prstClr val="black">
                    <a:alpha val="40000"/>
                  </a:prstClr>
                </a:outerShdw>
              </a:effectLst>
            </c:spPr>
          </c:marker>
          <c:dLbls>
            <c:dLbl>
              <c:idx val="0"/>
              <c:tx>
                <c:strRef>
                  <c:f>Correlations!$F$3</c:f>
                  <c:strCache>
                    <c:ptCount val="1"/>
                    <c:pt idx="0">
                      <c:v>Banyule </c:v>
                    </c:pt>
                  </c:strCache>
                </c:strRef>
              </c:tx>
              <c:showLegendKey val="0"/>
              <c:showVal val="0"/>
              <c:showCatName val="0"/>
              <c:showSerName val="0"/>
              <c:showPercent val="0"/>
              <c:showBubbleSize val="0"/>
              <c:extLst>
                <c:ext xmlns:c15="http://schemas.microsoft.com/office/drawing/2012/chart" uri="{CE6537A1-D6FC-4f65-9D91-7224C49458BB}">
                  <c15:dlblFieldTable>
                    <c15:dlblFTEntry>
                      <c15:txfldGUID>{93962915-0E36-4DD7-9768-6630088D94B9}</c15:txfldGUID>
                      <c15:f>Correlations!$F$3</c15:f>
                      <c15:dlblFieldTableCache>
                        <c:ptCount val="1"/>
                        <c:pt idx="0">
                          <c:v>Banyule </c:v>
                        </c:pt>
                      </c15:dlblFieldTableCache>
                    </c15:dlblFTEntry>
                  </c15:dlblFieldTable>
                  <c15:showDataLabelsRange val="0"/>
                </c:ext>
                <c:ext xmlns:c16="http://schemas.microsoft.com/office/drawing/2014/chart" uri="{C3380CC4-5D6E-409C-BE32-E72D297353CC}">
                  <c16:uniqueId val="{00000000-2495-4A2C-9528-5B437F53E8DD}"/>
                </c:ext>
              </c:extLst>
            </c:dLbl>
            <c:dLbl>
              <c:idx val="1"/>
              <c:layout>
                <c:manualLayout>
                  <c:x val="-9.5561416739388047E-3"/>
                  <c:y val="7.6802593145822492E-3"/>
                </c:manualLayout>
              </c:layout>
              <c:tx>
                <c:strRef>
                  <c:f>Correlations!$G$3</c:f>
                  <c:strCache>
                    <c:ptCount val="1"/>
                    <c:pt idx="0">
                      <c:v>Bayside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{68CD3656-2A97-4464-B5A1-1E4FE192C49E}</c15:txfldGUID>
                      <c15:f>Correlations!$G$3</c15:f>
                      <c15:dlblFieldTableCache>
                        <c:ptCount val="1"/>
                        <c:pt idx="0">
                          <c:v>Bayside </c:v>
                        </c:pt>
                      </c15:dlblFieldTableCache>
                    </c15:dlblFTEntry>
                  </c15:dlblFieldTable>
                  <c15:showDataLabelsRange val="0"/>
                </c:ext>
                <c:ext xmlns:c16="http://schemas.microsoft.com/office/drawing/2014/chart" uri="{C3380CC4-5D6E-409C-BE32-E72D297353CC}">
                  <c16:uniqueId val="{00000001-2495-4A2C-9528-5B437F53E8DD}"/>
                </c:ext>
              </c:extLst>
            </c:dLbl>
            <c:dLbl>
              <c:idx val="2"/>
              <c:layout>
                <c:manualLayout>
                  <c:x val="-9.5561416739388047E-3"/>
                  <c:y val="3.8401296572911263E-3"/>
                </c:manualLayout>
              </c:layout>
              <c:tx>
                <c:strRef>
                  <c:f>Correlations!$H$3</c:f>
                  <c:strCache>
                    <c:ptCount val="1"/>
                    <c:pt idx="0">
                      <c:v>Boroondara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{BAC98EAD-462A-4917-B1A0-069D3E7617E9}</c15:txfldGUID>
                      <c15:f>Correlations!$H$3</c15:f>
                      <c15:dlblFieldTableCache>
                        <c:ptCount val="1"/>
                        <c:pt idx="0">
                          <c:v>Boroondara </c:v>
                        </c:pt>
                      </c15:dlblFieldTableCache>
                    </c15:dlblFTEntry>
                  </c15:dlblFieldTable>
                  <c15:showDataLabelsRange val="0"/>
                </c:ext>
                <c:ext xmlns:c16="http://schemas.microsoft.com/office/drawing/2014/chart" uri="{C3380CC4-5D6E-409C-BE32-E72D297353CC}">
                  <c16:uniqueId val="{00000002-2495-4A2C-9528-5B437F53E8DD}"/>
                </c:ext>
              </c:extLst>
            </c:dLbl>
            <c:dLbl>
              <c:idx val="3"/>
              <c:layout>
                <c:manualLayout>
                  <c:x val="-7.1671062554541018E-3"/>
                  <c:y val="3.8401296572911263E-3"/>
                </c:manualLayout>
              </c:layout>
              <c:tx>
                <c:strRef>
                  <c:f>Correlations!$I$3</c:f>
                  <c:strCache>
                    <c:ptCount val="1"/>
                    <c:pt idx="0">
                      <c:v>Brimbank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{D7282BD5-23DE-4518-A444-50730F5F0F2D}</c15:txfldGUID>
                      <c15:f>Correlations!$I$3</c15:f>
                      <c15:dlblFieldTableCache>
                        <c:ptCount val="1"/>
                        <c:pt idx="0">
                          <c:v>Brimbank </c:v>
                        </c:pt>
                      </c15:dlblFieldTableCache>
                    </c15:dlblFTEntry>
                  </c15:dlblFieldTable>
                  <c15:showDataLabelsRange val="0"/>
                </c:ext>
                <c:ext xmlns:c16="http://schemas.microsoft.com/office/drawing/2014/chart" uri="{C3380CC4-5D6E-409C-BE32-E72D297353CC}">
                  <c16:uniqueId val="{00000003-2495-4A2C-9528-5B437F53E8DD}"/>
                </c:ext>
              </c:extLst>
            </c:dLbl>
            <c:dLbl>
              <c:idx val="4"/>
              <c:tx>
                <c:strRef>
                  <c:f>Correlations!$J$3</c:f>
                  <c:strCache>
                    <c:ptCount val="1"/>
                    <c:pt idx="0">
                      <c:v>Cardinia</c:v>
                    </c:pt>
                  </c:strCache>
                </c:strRef>
              </c:tx>
              <c:showLegendKey val="0"/>
              <c:showVal val="0"/>
              <c:showCatName val="0"/>
              <c:showSerName val="0"/>
              <c:showPercent val="0"/>
              <c:showBubbleSize val="0"/>
              <c:extLst>
                <c:ext xmlns:c15="http://schemas.microsoft.com/office/drawing/2012/chart" uri="{CE6537A1-D6FC-4f65-9D91-7224C49458BB}">
                  <c15:dlblFieldTable>
                    <c15:dlblFTEntry>
                      <c15:txfldGUID>{FDB21A54-2EC4-4E86-AC2E-A844CC196B6F}</c15:txfldGUID>
                      <c15:f>Correlations!$J$3</c15:f>
                      <c15:dlblFieldTableCache>
                        <c:ptCount val="1"/>
                        <c:pt idx="0">
                          <c:v>Cardinia</c:v>
                        </c:pt>
                      </c15:dlblFieldTableCache>
                    </c15:dlblFTEntry>
                  </c15:dlblFieldTable>
                  <c15:showDataLabelsRange val="0"/>
                </c:ext>
                <c:ext xmlns:c16="http://schemas.microsoft.com/office/drawing/2014/chart" uri="{C3380CC4-5D6E-409C-BE32-E72D297353CC}">
                  <c16:uniqueId val="{00000004-2495-4A2C-9528-5B437F53E8DD}"/>
                </c:ext>
              </c:extLst>
            </c:dLbl>
            <c:dLbl>
              <c:idx val="5"/>
              <c:layout>
                <c:manualLayout>
                  <c:x val="-6.6892991717571876E-2"/>
                  <c:y val="3.8401296572911263E-3"/>
                </c:manualLayout>
              </c:layout>
              <c:tx>
                <c:strRef>
                  <c:f>Correlations!$K$3</c:f>
                  <c:strCache>
                    <c:ptCount val="1"/>
                    <c:pt idx="0">
                      <c:v>Casey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{DA93F48E-DF06-477A-8C8E-52DE0483EEA3}</c15:txfldGUID>
                      <c15:f>Correlations!$K$3</c15:f>
                      <c15:dlblFieldTableCache>
                        <c:ptCount val="1"/>
                        <c:pt idx="0">
                          <c:v>Casey </c:v>
                        </c:pt>
                      </c15:dlblFieldTableCache>
                    </c15:dlblFTEntry>
                  </c15:dlblFieldTable>
                  <c15:showDataLabelsRange val="0"/>
                </c:ext>
                <c:ext xmlns:c16="http://schemas.microsoft.com/office/drawing/2014/chart" uri="{C3380CC4-5D6E-409C-BE32-E72D297353CC}">
                  <c16:uniqueId val="{00000005-2495-4A2C-9528-5B437F53E8DD}"/>
                </c:ext>
              </c:extLst>
            </c:dLbl>
            <c:dLbl>
              <c:idx val="6"/>
              <c:tx>
                <c:strRef>
                  <c:f>Correlations!$L$3</c:f>
                  <c:strCache>
                    <c:ptCount val="1"/>
                    <c:pt idx="0">
                      <c:v>Darebin </c:v>
                    </c:pt>
                  </c:strCache>
                </c:strRef>
              </c:tx>
              <c:showLegendKey val="0"/>
              <c:showVal val="0"/>
              <c:showCatName val="0"/>
              <c:showSerName val="0"/>
              <c:showPercent val="0"/>
              <c:showBubbleSize val="0"/>
              <c:extLst>
                <c:ext xmlns:c15="http://schemas.microsoft.com/office/drawing/2012/chart" uri="{CE6537A1-D6FC-4f65-9D91-7224C49458BB}">
                  <c15:dlblFieldTable>
                    <c15:dlblFTEntry>
                      <c15:txfldGUID>{F0767164-6D6B-4EFF-8E14-430D3341D570}</c15:txfldGUID>
                      <c15:f>Correlations!$L$3</c15:f>
                      <c15:dlblFieldTableCache>
                        <c:ptCount val="1"/>
                        <c:pt idx="0">
                          <c:v>Darebin </c:v>
                        </c:pt>
                      </c15:dlblFieldTableCache>
                    </c15:dlblFTEntry>
                  </c15:dlblFieldTable>
                  <c15:showDataLabelsRange val="0"/>
                </c:ext>
                <c:ext xmlns:c16="http://schemas.microsoft.com/office/drawing/2014/chart" uri="{C3380CC4-5D6E-409C-BE32-E72D297353CC}">
                  <c16:uniqueId val="{00000006-2495-4A2C-9528-5B437F53E8DD}"/>
                </c:ext>
              </c:extLst>
            </c:dLbl>
            <c:dLbl>
              <c:idx val="7"/>
              <c:layout>
                <c:manualLayout>
                  <c:x val="-1.1945177092423575E-2"/>
                  <c:y val="0"/>
                </c:manualLayout>
              </c:layout>
              <c:tx>
                <c:strRef>
                  <c:f>Correlations!$M$3</c:f>
                  <c:strCache>
                    <c:ptCount val="1"/>
                    <c:pt idx="0">
                      <c:v>Frankston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{50358691-CC41-4C62-B3F5-93A8B3903FA1}</c15:txfldGUID>
                      <c15:f>Correlations!$M$3</c15:f>
                      <c15:dlblFieldTableCache>
                        <c:ptCount val="1"/>
                        <c:pt idx="0">
                          <c:v>Frankston </c:v>
                        </c:pt>
                      </c15:dlblFieldTableCache>
                    </c15:dlblFTEntry>
                  </c15:dlblFieldTable>
                  <c15:showDataLabelsRange val="0"/>
                </c:ext>
                <c:ext xmlns:c16="http://schemas.microsoft.com/office/drawing/2014/chart" uri="{C3380CC4-5D6E-409C-BE32-E72D297353CC}">
                  <c16:uniqueId val="{00000007-2495-4A2C-9528-5B437F53E8DD}"/>
                </c:ext>
              </c:extLst>
            </c:dLbl>
            <c:dLbl>
              <c:idx val="8"/>
              <c:layout>
                <c:manualLayout>
                  <c:x val="-9.5561416739388047E-3"/>
                  <c:y val="0"/>
                </c:manualLayout>
              </c:layout>
              <c:tx>
                <c:strRef>
                  <c:f>Correlations!$N$3</c:f>
                  <c:strCache>
                    <c:ptCount val="1"/>
                    <c:pt idx="0">
                      <c:v>Glen Eira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{A65958F5-9F4C-4112-A969-96E10943E436}</c15:txfldGUID>
                      <c15:f>Correlations!$N$3</c15:f>
                      <c15:dlblFieldTableCache>
                        <c:ptCount val="1"/>
                        <c:pt idx="0">
                          <c:v>Glen Eira </c:v>
                        </c:pt>
                      </c15:dlblFieldTableCache>
                    </c15:dlblFTEntry>
                  </c15:dlblFieldTable>
                  <c15:showDataLabelsRange val="0"/>
                </c:ext>
                <c:ext xmlns:c16="http://schemas.microsoft.com/office/drawing/2014/chart" uri="{C3380CC4-5D6E-409C-BE32-E72D297353CC}">
                  <c16:uniqueId val="{00000008-2495-4A2C-9528-5B437F53E8DD}"/>
                </c:ext>
              </c:extLst>
            </c:dLbl>
            <c:dLbl>
              <c:idx val="9"/>
              <c:layout>
                <c:manualLayout>
                  <c:x val="-7.1671062554541018E-3"/>
                  <c:y val="0"/>
                </c:manualLayout>
              </c:layout>
              <c:tx>
                <c:strRef>
                  <c:f>Correlations!$O$3</c:f>
                  <c:strCache>
                    <c:ptCount val="1"/>
                    <c:pt idx="0">
                      <c:v>Greater Dandenong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{C833B482-E771-4A2C-B749-DDA8A1CE2F5C}</c15:txfldGUID>
                      <c15:f>Correlations!$O$3</c15:f>
                      <c15:dlblFieldTableCache>
                        <c:ptCount val="1"/>
                        <c:pt idx="0">
                          <c:v>Greater Dandenong </c:v>
                        </c:pt>
                      </c15:dlblFieldTableCache>
                    </c15:dlblFTEntry>
                  </c15:dlblFieldTable>
                  <c15:showDataLabelsRange val="0"/>
                </c:ext>
                <c:ext xmlns:c16="http://schemas.microsoft.com/office/drawing/2014/chart" uri="{C3380CC4-5D6E-409C-BE32-E72D297353CC}">
                  <c16:uniqueId val="{00000009-2495-4A2C-9528-5B437F53E8DD}"/>
                </c:ext>
              </c:extLst>
            </c:dLbl>
            <c:dLbl>
              <c:idx val="10"/>
              <c:layout>
                <c:manualLayout>
                  <c:x val="-1.4334400623933282E-2"/>
                  <c:y val="0"/>
                </c:manualLayout>
              </c:layout>
              <c:tx>
                <c:strRef>
                  <c:f>Correlations!$P$3</c:f>
                  <c:strCache>
                    <c:ptCount val="1"/>
                    <c:pt idx="0">
                      <c:v>Hobsons Bay (S)</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{23F1F33A-4C18-4A6B-B395-0A0082513093}</c15:txfldGUID>
                      <c15:f>Correlations!$P$3</c15:f>
                      <c15:dlblFieldTableCache>
                        <c:ptCount val="1"/>
                        <c:pt idx="0">
                          <c:v>Hobsons Bay (S)</c:v>
                        </c:pt>
                      </c15:dlblFieldTableCache>
                    </c15:dlblFTEntry>
                  </c15:dlblFieldTable>
                  <c15:showDataLabelsRange val="0"/>
                </c:ext>
                <c:ext xmlns:c16="http://schemas.microsoft.com/office/drawing/2014/chart" uri="{C3380CC4-5D6E-409C-BE32-E72D297353CC}">
                  <c16:uniqueId val="{0000000A-2495-4A2C-9528-5B437F53E8DD}"/>
                </c:ext>
              </c:extLst>
            </c:dLbl>
            <c:dLbl>
              <c:idx val="11"/>
              <c:layout>
                <c:manualLayout>
                  <c:x val="-1.1945177092423575E-2"/>
                  <c:y val="3.5200781882732906E-17"/>
                </c:manualLayout>
              </c:layout>
              <c:tx>
                <c:strRef>
                  <c:f>Correlations!$Q$3</c:f>
                  <c:strCache>
                    <c:ptCount val="1"/>
                    <c:pt idx="0">
                      <c:v>Hume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{67E51E54-0C36-49ED-8BB0-625FA9459A71}</c15:txfldGUID>
                      <c15:f>Correlations!$Q$3</c15:f>
                      <c15:dlblFieldTableCache>
                        <c:ptCount val="1"/>
                        <c:pt idx="0">
                          <c:v>Hume </c:v>
                        </c:pt>
                      </c15:dlblFieldTableCache>
                    </c15:dlblFTEntry>
                  </c15:dlblFieldTable>
                  <c15:showDataLabelsRange val="0"/>
                </c:ext>
                <c:ext xmlns:c16="http://schemas.microsoft.com/office/drawing/2014/chart" uri="{C3380CC4-5D6E-409C-BE32-E72D297353CC}">
                  <c16:uniqueId val="{0000000B-2495-4A2C-9528-5B437F53E8DD}"/>
                </c:ext>
              </c:extLst>
            </c:dLbl>
            <c:dLbl>
              <c:idx val="12"/>
              <c:tx>
                <c:strRef>
                  <c:f>Correlations!$R$3</c:f>
                  <c:strCache>
                    <c:ptCount val="1"/>
                    <c:pt idx="0">
                      <c:v>Kingston </c:v>
                    </c:pt>
                  </c:strCache>
                </c:strRef>
              </c:tx>
              <c:showLegendKey val="0"/>
              <c:showVal val="0"/>
              <c:showCatName val="0"/>
              <c:showSerName val="0"/>
              <c:showPercent val="0"/>
              <c:showBubbleSize val="0"/>
              <c:extLst>
                <c:ext xmlns:c15="http://schemas.microsoft.com/office/drawing/2012/chart" uri="{CE6537A1-D6FC-4f65-9D91-7224C49458BB}">
                  <c15:dlblFieldTable>
                    <c15:dlblFTEntry>
                      <c15:txfldGUID>{D829EF75-CCC8-43EC-9C04-6BA404D31187}</c15:txfldGUID>
                      <c15:f>Correlations!$R$3</c15:f>
                      <c15:dlblFieldTableCache>
                        <c:ptCount val="1"/>
                        <c:pt idx="0">
                          <c:v>Kingston </c:v>
                        </c:pt>
                      </c15:dlblFieldTableCache>
                    </c15:dlblFTEntry>
                  </c15:dlblFieldTable>
                  <c15:showDataLabelsRange val="0"/>
                </c:ext>
                <c:ext xmlns:c16="http://schemas.microsoft.com/office/drawing/2014/chart" uri="{C3380CC4-5D6E-409C-BE32-E72D297353CC}">
                  <c16:uniqueId val="{0000000C-2495-4A2C-9528-5B437F53E8DD}"/>
                </c:ext>
              </c:extLst>
            </c:dLbl>
            <c:dLbl>
              <c:idx val="13"/>
              <c:layout>
                <c:manualLayout>
                  <c:x val="-3.5835531277270696E-2"/>
                  <c:y val="2.6880907601037864E-2"/>
                </c:manualLayout>
              </c:layout>
              <c:tx>
                <c:strRef>
                  <c:f>Correlations!$S$3</c:f>
                  <c:strCache>
                    <c:ptCount val="1"/>
                    <c:pt idx="0">
                      <c:v>Knox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{02B02869-4ADC-49D7-BD76-DBAE0C890AC8}</c15:txfldGUID>
                      <c15:f>Correlations!$S$3</c15:f>
                      <c15:dlblFieldTableCache>
                        <c:ptCount val="1"/>
                        <c:pt idx="0">
                          <c:v>Knox </c:v>
                        </c:pt>
                      </c15:dlblFieldTableCache>
                    </c15:dlblFTEntry>
                  </c15:dlblFieldTable>
                  <c15:showDataLabelsRange val="0"/>
                </c:ext>
                <c:ext xmlns:c16="http://schemas.microsoft.com/office/drawing/2014/chart" uri="{C3380CC4-5D6E-409C-BE32-E72D297353CC}">
                  <c16:uniqueId val="{0000000D-2495-4A2C-9528-5B437F53E8DD}"/>
                </c:ext>
              </c:extLst>
            </c:dLbl>
            <c:dLbl>
              <c:idx val="14"/>
              <c:layout>
                <c:manualLayout>
                  <c:x val="-1.1945177092423575E-2"/>
                  <c:y val="3.8401296572911263E-3"/>
                </c:manualLayout>
              </c:layout>
              <c:tx>
                <c:strRef>
                  <c:f>Correlations!$T$3</c:f>
                  <c:strCache>
                    <c:ptCount val="1"/>
                    <c:pt idx="0">
                      <c:v>Manningham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{DECBB9B3-F779-4531-9B75-A60E61400609}</c15:txfldGUID>
                      <c15:f>Correlations!$T$3</c15:f>
                      <c15:dlblFieldTableCache>
                        <c:ptCount val="1"/>
                        <c:pt idx="0">
                          <c:v>Manningham </c:v>
                        </c:pt>
                      </c15:dlblFieldTableCache>
                    </c15:dlblFTEntry>
                  </c15:dlblFieldTable>
                  <c15:showDataLabelsRange val="0"/>
                </c:ext>
                <c:ext xmlns:c16="http://schemas.microsoft.com/office/drawing/2014/chart" uri="{C3380CC4-5D6E-409C-BE32-E72D297353CC}">
                  <c16:uniqueId val="{0000000E-2495-4A2C-9528-5B437F53E8DD}"/>
                </c:ext>
              </c:extLst>
            </c:dLbl>
            <c:dLbl>
              <c:idx val="15"/>
              <c:layout>
                <c:manualLayout>
                  <c:x val="-7.1671062554541018E-3"/>
                  <c:y val="0"/>
                </c:manualLayout>
              </c:layout>
              <c:tx>
                <c:strRef>
                  <c:f>Correlations!$U$3</c:f>
                  <c:strCache>
                    <c:ptCount val="1"/>
                    <c:pt idx="0">
                      <c:v>Maribyrnong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{1C14BC1E-E9BA-4DF8-B862-82EBA501305A}</c15:txfldGUID>
                      <c15:f>Correlations!$U$3</c15:f>
                      <c15:dlblFieldTableCache>
                        <c:ptCount val="1"/>
                        <c:pt idx="0">
                          <c:v>Maribyrnong </c:v>
                        </c:pt>
                      </c15:dlblFieldTableCache>
                    </c15:dlblFTEntry>
                  </c15:dlblFieldTable>
                  <c15:showDataLabelsRange val="0"/>
                </c:ext>
                <c:ext xmlns:c16="http://schemas.microsoft.com/office/drawing/2014/chart" uri="{C3380CC4-5D6E-409C-BE32-E72D297353CC}">
                  <c16:uniqueId val="{0000000F-2495-4A2C-9528-5B437F53E8DD}"/>
                </c:ext>
              </c:extLst>
            </c:dLbl>
            <c:dLbl>
              <c:idx val="16"/>
              <c:layout>
                <c:manualLayout>
                  <c:x val="-9.5561416739388897E-3"/>
                  <c:y val="0"/>
                </c:manualLayout>
              </c:layout>
              <c:tx>
                <c:strRef>
                  <c:f>Correlations!$V$3</c:f>
                  <c:strCache>
                    <c:ptCount val="1"/>
                    <c:pt idx="0">
                      <c:v>Maroondah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{69B8EF32-4B66-485A-96F4-E90EB592B353}</c15:txfldGUID>
                      <c15:f>Correlations!$V$3</c15:f>
                      <c15:dlblFieldTableCache>
                        <c:ptCount val="1"/>
                        <c:pt idx="0">
                          <c:v>Maroondah </c:v>
                        </c:pt>
                      </c15:dlblFieldTableCache>
                    </c15:dlblFTEntry>
                  </c15:dlblFieldTable>
                  <c15:showDataLabelsRange val="0"/>
                </c:ext>
                <c:ext xmlns:c16="http://schemas.microsoft.com/office/drawing/2014/chart" uri="{C3380CC4-5D6E-409C-BE32-E72D297353CC}">
                  <c16:uniqueId val="{00000010-2495-4A2C-9528-5B437F53E8DD}"/>
                </c:ext>
              </c:extLst>
            </c:dLbl>
            <c:dLbl>
              <c:idx val="17"/>
              <c:layout>
                <c:manualLayout>
                  <c:x val="-1.1945177092423575E-2"/>
                  <c:y val="0"/>
                </c:manualLayout>
              </c:layout>
              <c:tx>
                <c:strRef>
                  <c:f>Correlations!$W$3</c:f>
                  <c:strCache>
                    <c:ptCount val="1"/>
                    <c:pt idx="0">
                      <c:v>Melbourne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{D6E1DE45-3E57-46FA-A53E-D2172201FC76}</c15:txfldGUID>
                      <c15:f>Correlations!$W$3</c15:f>
                      <c15:dlblFieldTableCache>
                        <c:ptCount val="1"/>
                        <c:pt idx="0">
                          <c:v>Melbourne </c:v>
                        </c:pt>
                      </c15:dlblFieldTableCache>
                    </c15:dlblFTEntry>
                  </c15:dlblFieldTable>
                  <c15:showDataLabelsRange val="0"/>
                </c:ext>
                <c:ext xmlns:c16="http://schemas.microsoft.com/office/drawing/2014/chart" uri="{C3380CC4-5D6E-409C-BE32-E72D297353CC}">
                  <c16:uniqueId val="{00000011-2495-4A2C-9528-5B437F53E8DD}"/>
                </c:ext>
              </c:extLst>
            </c:dLbl>
            <c:dLbl>
              <c:idx val="18"/>
              <c:layout>
                <c:manualLayout>
                  <c:x val="-7.1671062554541018E-3"/>
                  <c:y val="1.1520388971873317E-2"/>
                </c:manualLayout>
              </c:layout>
              <c:tx>
                <c:strRef>
                  <c:f>Correlations!$X$3</c:f>
                  <c:strCache>
                    <c:ptCount val="1"/>
                    <c:pt idx="0">
                      <c:v>Melton</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{A1C6CE08-CACB-41F9-8005-C719624465F1}</c15:txfldGUID>
                      <c15:f>Correlations!$X$3</c15:f>
                      <c15:dlblFieldTableCache>
                        <c:ptCount val="1"/>
                        <c:pt idx="0">
                          <c:v>Melton</c:v>
                        </c:pt>
                      </c15:dlblFieldTableCache>
                    </c15:dlblFTEntry>
                  </c15:dlblFieldTable>
                  <c15:showDataLabelsRange val="0"/>
                </c:ext>
                <c:ext xmlns:c16="http://schemas.microsoft.com/office/drawing/2014/chart" uri="{C3380CC4-5D6E-409C-BE32-E72D297353CC}">
                  <c16:uniqueId val="{00000012-2495-4A2C-9528-5B437F53E8DD}"/>
                </c:ext>
              </c:extLst>
            </c:dLbl>
            <c:dLbl>
              <c:idx val="19"/>
              <c:layout>
                <c:manualLayout>
                  <c:x val="-9.5561416739388047E-3"/>
                  <c:y val="3.8401296572911263E-3"/>
                </c:manualLayout>
              </c:layout>
              <c:tx>
                <c:strRef>
                  <c:f>Correlations!$Y$3</c:f>
                  <c:strCache>
                    <c:ptCount val="1"/>
                    <c:pt idx="0">
                      <c:v>Monash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{02397936-449A-4DB7-B551-1052F9DDC53A}</c15:txfldGUID>
                      <c15:f>Correlations!$Y$3</c15:f>
                      <c15:dlblFieldTableCache>
                        <c:ptCount val="1"/>
                        <c:pt idx="0">
                          <c:v>Monash </c:v>
                        </c:pt>
                      </c15:dlblFieldTableCache>
                    </c15:dlblFTEntry>
                  </c15:dlblFieldTable>
                  <c15:showDataLabelsRange val="0"/>
                </c:ext>
                <c:ext xmlns:c16="http://schemas.microsoft.com/office/drawing/2014/chart" uri="{C3380CC4-5D6E-409C-BE32-E72D297353CC}">
                  <c16:uniqueId val="{00000013-2495-4A2C-9528-5B437F53E8DD}"/>
                </c:ext>
              </c:extLst>
            </c:dLbl>
            <c:dLbl>
              <c:idx val="20"/>
              <c:layout>
                <c:manualLayout>
                  <c:x val="-9.5561416739388047E-3"/>
                  <c:y val="3.8401296572910916E-3"/>
                </c:manualLayout>
              </c:layout>
              <c:tx>
                <c:strRef>
                  <c:f>Correlations!$Z$3</c:f>
                  <c:strCache>
                    <c:ptCount val="1"/>
                    <c:pt idx="0">
                      <c:v>Moonee Valley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{2F3B06C6-F851-4F60-96F8-5E6A6A592558}</c15:txfldGUID>
                      <c15:f>Correlations!$Z$3</c15:f>
                      <c15:dlblFieldTableCache>
                        <c:ptCount val="1"/>
                        <c:pt idx="0">
                          <c:v>Moonee Valley </c:v>
                        </c:pt>
                      </c15:dlblFieldTableCache>
                    </c15:dlblFTEntry>
                  </c15:dlblFieldTable>
                  <c15:showDataLabelsRange val="0"/>
                </c:ext>
                <c:ext xmlns:c16="http://schemas.microsoft.com/office/drawing/2014/chart" uri="{C3380CC4-5D6E-409C-BE32-E72D297353CC}">
                  <c16:uniqueId val="{00000014-2495-4A2C-9528-5B437F53E8DD}"/>
                </c:ext>
              </c:extLst>
            </c:dLbl>
            <c:dLbl>
              <c:idx val="21"/>
              <c:tx>
                <c:strRef>
                  <c:f>Correlations!$AA$3</c:f>
                  <c:strCache>
                    <c:ptCount val="1"/>
                    <c:pt idx="0">
                      <c:v>Moreland </c:v>
                    </c:pt>
                  </c:strCache>
                </c:strRef>
              </c:tx>
              <c:showLegendKey val="0"/>
              <c:showVal val="0"/>
              <c:showCatName val="0"/>
              <c:showSerName val="0"/>
              <c:showPercent val="0"/>
              <c:showBubbleSize val="0"/>
              <c:extLst>
                <c:ext xmlns:c15="http://schemas.microsoft.com/office/drawing/2012/chart" uri="{CE6537A1-D6FC-4f65-9D91-7224C49458BB}">
                  <c15:dlblFieldTable>
                    <c15:dlblFTEntry>
                      <c15:txfldGUID>{F8CAB701-ED16-4E69-B789-865B61CB2C92}</c15:txfldGUID>
                      <c15:f>Correlations!$AA$3</c15:f>
                      <c15:dlblFieldTableCache>
                        <c:ptCount val="1"/>
                        <c:pt idx="0">
                          <c:v>Moreland </c:v>
                        </c:pt>
                      </c15:dlblFieldTableCache>
                    </c15:dlblFTEntry>
                  </c15:dlblFieldTable>
                  <c15:showDataLabelsRange val="0"/>
                </c:ext>
                <c:ext xmlns:c16="http://schemas.microsoft.com/office/drawing/2014/chart" uri="{C3380CC4-5D6E-409C-BE32-E72D297353CC}">
                  <c16:uniqueId val="{00000015-2495-4A2C-9528-5B437F53E8DD}"/>
                </c:ext>
              </c:extLst>
            </c:dLbl>
            <c:dLbl>
              <c:idx val="22"/>
              <c:layout>
                <c:manualLayout>
                  <c:x val="-1.67232479293929E-2"/>
                  <c:y val="-1.5360518629164483E-2"/>
                </c:manualLayout>
              </c:layout>
              <c:tx>
                <c:strRef>
                  <c:f>Correlations!$AB$3</c:f>
                  <c:strCache>
                    <c:ptCount val="1"/>
                    <c:pt idx="0">
                      <c:v>Mornington Pen.</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{600AF5BF-D2F2-482C-9F35-5CA35C770576}</c15:txfldGUID>
                      <c15:f>Correlations!$AB$3</c15:f>
                      <c15:dlblFieldTableCache>
                        <c:ptCount val="1"/>
                        <c:pt idx="0">
                          <c:v>Mornington Pen.</c:v>
                        </c:pt>
                      </c15:dlblFieldTableCache>
                    </c15:dlblFTEntry>
                  </c15:dlblFieldTable>
                  <c15:showDataLabelsRange val="0"/>
                </c:ext>
                <c:ext xmlns:c16="http://schemas.microsoft.com/office/drawing/2014/chart" uri="{C3380CC4-5D6E-409C-BE32-E72D297353CC}">
                  <c16:uniqueId val="{00000016-2495-4A2C-9528-5B437F53E8DD}"/>
                </c:ext>
              </c:extLst>
            </c:dLbl>
            <c:dLbl>
              <c:idx val="23"/>
              <c:layout>
                <c:manualLayout>
                  <c:x val="-7.1671062554541018E-3"/>
                  <c:y val="0"/>
                </c:manualLayout>
              </c:layout>
              <c:tx>
                <c:strRef>
                  <c:f>Correlations!$AC$3</c:f>
                  <c:strCache>
                    <c:ptCount val="1"/>
                    <c:pt idx="0">
                      <c:v>Nillumbik</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{543F2437-9298-4E34-AA1E-B52198CAC0E7}</c15:txfldGUID>
                      <c15:f>Correlations!$AC$3</c15:f>
                      <c15:dlblFieldTableCache>
                        <c:ptCount val="1"/>
                        <c:pt idx="0">
                          <c:v>Nillumbik</c:v>
                        </c:pt>
                      </c15:dlblFieldTableCache>
                    </c15:dlblFTEntry>
                  </c15:dlblFieldTable>
                  <c15:showDataLabelsRange val="0"/>
                </c:ext>
                <c:ext xmlns:c16="http://schemas.microsoft.com/office/drawing/2014/chart" uri="{C3380CC4-5D6E-409C-BE32-E72D297353CC}">
                  <c16:uniqueId val="{00000017-2495-4A2C-9528-5B437F53E8DD}"/>
                </c:ext>
              </c:extLst>
            </c:dLbl>
            <c:dLbl>
              <c:idx val="24"/>
              <c:layout>
                <c:manualLayout>
                  <c:x val="-7.1671062554541018E-3"/>
                  <c:y val="0"/>
                </c:manualLayout>
              </c:layout>
              <c:tx>
                <c:strRef>
                  <c:f>Correlations!$AD$3</c:f>
                  <c:strCache>
                    <c:ptCount val="1"/>
                    <c:pt idx="0">
                      <c:v>Port Phillip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{BCF88ED7-C253-44E9-9513-D0466E5A2665}</c15:txfldGUID>
                      <c15:f>Correlations!$AD$3</c15:f>
                      <c15:dlblFieldTableCache>
                        <c:ptCount val="1"/>
                        <c:pt idx="0">
                          <c:v>Port Phillip </c:v>
                        </c:pt>
                      </c15:dlblFieldTableCache>
                    </c15:dlblFTEntry>
                  </c15:dlblFieldTable>
                  <c15:showDataLabelsRange val="0"/>
                </c:ext>
                <c:ext xmlns:c16="http://schemas.microsoft.com/office/drawing/2014/chart" uri="{C3380CC4-5D6E-409C-BE32-E72D297353CC}">
                  <c16:uniqueId val="{00000018-2495-4A2C-9528-5B437F53E8DD}"/>
                </c:ext>
              </c:extLst>
            </c:dLbl>
            <c:dLbl>
              <c:idx val="25"/>
              <c:layout>
                <c:manualLayout>
                  <c:x val="-0.12422870264098876"/>
                  <c:y val="1.1742359684195328E-2"/>
                </c:manualLayout>
              </c:layout>
              <c:tx>
                <c:strRef>
                  <c:f>Correlations!$AE$3</c:f>
                  <c:strCache>
                    <c:ptCount val="1"/>
                    <c:pt idx="0">
                      <c:v>Stonnington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{31C3BE6F-4D71-4386-B681-CDDE5F375E2C}</c15:txfldGUID>
                      <c15:f>Correlations!$AE$3</c15:f>
                      <c15:dlblFieldTableCache>
                        <c:ptCount val="1"/>
                        <c:pt idx="0">
                          <c:v>Stonnington </c:v>
                        </c:pt>
                      </c15:dlblFieldTableCache>
                    </c15:dlblFTEntry>
                  </c15:dlblFieldTable>
                  <c15:showDataLabelsRange val="0"/>
                </c:ext>
                <c:ext xmlns:c16="http://schemas.microsoft.com/office/drawing/2014/chart" uri="{C3380CC4-5D6E-409C-BE32-E72D297353CC}">
                  <c16:uniqueId val="{00000019-2495-4A2C-9528-5B437F53E8DD}"/>
                </c:ext>
              </c:extLst>
            </c:dLbl>
            <c:dLbl>
              <c:idx val="26"/>
              <c:layout>
                <c:manualLayout>
                  <c:x val="-1.4334212510908178E-2"/>
                  <c:y val="7.6802593145823168E-3"/>
                </c:manualLayout>
              </c:layout>
              <c:tx>
                <c:strRef>
                  <c:f>Correlations!$AF$3</c:f>
                  <c:strCache>
                    <c:ptCount val="1"/>
                    <c:pt idx="0">
                      <c:v>Whitehorse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{0E4FF7B5-3B26-4335-A6F7-51B9DD882152}</c15:txfldGUID>
                      <c15:f>Correlations!$AF$3</c15:f>
                      <c15:dlblFieldTableCache>
                        <c:ptCount val="1"/>
                        <c:pt idx="0">
                          <c:v>Whitehorse </c:v>
                        </c:pt>
                      </c15:dlblFieldTableCache>
                    </c15:dlblFTEntry>
                  </c15:dlblFieldTable>
                  <c15:showDataLabelsRange val="0"/>
                </c:ext>
                <c:ext xmlns:c16="http://schemas.microsoft.com/office/drawing/2014/chart" uri="{C3380CC4-5D6E-409C-BE32-E72D297353CC}">
                  <c16:uniqueId val="{0000001A-2495-4A2C-9528-5B437F53E8DD}"/>
                </c:ext>
              </c:extLst>
            </c:dLbl>
            <c:dLbl>
              <c:idx val="27"/>
              <c:layout>
                <c:manualLayout>
                  <c:x val="-1.4334212510908178E-2"/>
                  <c:y val="3.5200781882732906E-17"/>
                </c:manualLayout>
              </c:layout>
              <c:tx>
                <c:strRef>
                  <c:f>Correlations!$AG$3</c:f>
                  <c:strCache>
                    <c:ptCount val="1"/>
                    <c:pt idx="0">
                      <c:v>Whittlesea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{C229AB01-01E2-40FF-B025-43E993C75EAC}</c15:txfldGUID>
                      <c15:f>Correlations!$AG$3</c15:f>
                      <c15:dlblFieldTableCache>
                        <c:ptCount val="1"/>
                        <c:pt idx="0">
                          <c:v>Whittlesea </c:v>
                        </c:pt>
                      </c15:dlblFieldTableCache>
                    </c15:dlblFTEntry>
                  </c15:dlblFieldTable>
                  <c15:showDataLabelsRange val="0"/>
                </c:ext>
                <c:ext xmlns:c16="http://schemas.microsoft.com/office/drawing/2014/chart" uri="{C3380CC4-5D6E-409C-BE32-E72D297353CC}">
                  <c16:uniqueId val="{0000001B-2495-4A2C-9528-5B437F53E8DD}"/>
                </c:ext>
              </c:extLst>
            </c:dLbl>
            <c:dLbl>
              <c:idx val="28"/>
              <c:layout>
                <c:manualLayout>
                  <c:x val="-1.1945177092423575E-2"/>
                  <c:y val="7.6802593145822492E-3"/>
                </c:manualLayout>
              </c:layout>
              <c:tx>
                <c:strRef>
                  <c:f>Correlations!$AH$3</c:f>
                  <c:strCache>
                    <c:ptCount val="1"/>
                    <c:pt idx="0">
                      <c:v>Wyndham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{C4CE5326-A749-43A8-B773-9783ED16A1E9}</c15:txfldGUID>
                      <c15:f>Correlations!$AH$3</c15:f>
                      <c15:dlblFieldTableCache>
                        <c:ptCount val="1"/>
                        <c:pt idx="0">
                          <c:v>Wyndham </c:v>
                        </c:pt>
                      </c15:dlblFieldTableCache>
                    </c15:dlblFTEntry>
                  </c15:dlblFieldTable>
                  <c15:showDataLabelsRange val="0"/>
                </c:ext>
                <c:ext xmlns:c16="http://schemas.microsoft.com/office/drawing/2014/chart" uri="{C3380CC4-5D6E-409C-BE32-E72D297353CC}">
                  <c16:uniqueId val="{0000001C-2495-4A2C-9528-5B437F53E8DD}"/>
                </c:ext>
              </c:extLst>
            </c:dLbl>
            <c:dLbl>
              <c:idx val="29"/>
              <c:layout>
                <c:manualLayout>
                  <c:x val="-9.5561416739388047E-3"/>
                  <c:y val="3.8401296572911263E-3"/>
                </c:manualLayout>
              </c:layout>
              <c:tx>
                <c:strRef>
                  <c:f>Correlations!$AI$3</c:f>
                  <c:strCache>
                    <c:ptCount val="1"/>
                    <c:pt idx="0">
                      <c:v>Yarra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{98060D0A-02F5-46C2-8147-4F55255C5A05}</c15:txfldGUID>
                      <c15:f>Correlations!$AI$3</c15:f>
                      <c15:dlblFieldTableCache>
                        <c:ptCount val="1"/>
                        <c:pt idx="0">
                          <c:v>Yarra </c:v>
                        </c:pt>
                      </c15:dlblFieldTableCache>
                    </c15:dlblFTEntry>
                  </c15:dlblFieldTable>
                  <c15:showDataLabelsRange val="0"/>
                </c:ext>
                <c:ext xmlns:c16="http://schemas.microsoft.com/office/drawing/2014/chart" uri="{C3380CC4-5D6E-409C-BE32-E72D297353CC}">
                  <c16:uniqueId val="{0000001D-2495-4A2C-9528-5B437F53E8DD}"/>
                </c:ext>
              </c:extLst>
            </c:dLbl>
            <c:dLbl>
              <c:idx val="30"/>
              <c:layout>
                <c:manualLayout>
                  <c:x val="-9.55632978696388E-3"/>
                  <c:y val="-3.8401296572911263E-3"/>
                </c:manualLayout>
              </c:layout>
              <c:tx>
                <c:strRef>
                  <c:f>Correlations!$AJ$3</c:f>
                  <c:strCache>
                    <c:ptCount val="1"/>
                    <c:pt idx="0">
                      <c:v>Yarra Ranges (S)</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{588B2923-CDBD-442F-8D1F-2BF27DB63D3F}</c15:txfldGUID>
                      <c15:f>Correlations!$AJ$3</c15:f>
                      <c15:dlblFieldTableCache>
                        <c:ptCount val="1"/>
                        <c:pt idx="0">
                          <c:v>Yarra Ranges (S)</c:v>
                        </c:pt>
                      </c15:dlblFieldTableCache>
                    </c15:dlblFTEntry>
                  </c15:dlblFieldTable>
                  <c15:showDataLabelsRange val="0"/>
                </c:ext>
                <c:ext xmlns:c16="http://schemas.microsoft.com/office/drawing/2014/chart" uri="{C3380CC4-5D6E-409C-BE32-E72D297353CC}">
                  <c16:uniqueId val="{0000001E-2495-4A2C-9528-5B437F53E8DD}"/>
                </c:ext>
              </c:extLst>
            </c:dLbl>
            <c:spPr>
              <a:noFill/>
              <a:ln>
                <a:noFill/>
              </a:ln>
              <a:effectLst/>
            </c:spPr>
            <c:txPr>
              <a:bodyPr/>
              <a:lstStyle/>
              <a:p>
                <a:pPr>
                  <a:defRPr sz="7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Correlations!$F$4:$AJ$4</c:f>
              <c:numCache>
                <c:formatCode>0.0</c:formatCode>
                <c:ptCount val="31"/>
                <c:pt idx="0">
                  <c:v>3.5</c:v>
                </c:pt>
                <c:pt idx="1">
                  <c:v>2.8</c:v>
                </c:pt>
                <c:pt idx="2">
                  <c:v>2.9</c:v>
                </c:pt>
                <c:pt idx="3">
                  <c:v>8.6</c:v>
                </c:pt>
                <c:pt idx="4">
                  <c:v>5</c:v>
                </c:pt>
                <c:pt idx="5">
                  <c:v>5.4</c:v>
                </c:pt>
                <c:pt idx="6">
                  <c:v>5.4</c:v>
                </c:pt>
                <c:pt idx="7">
                  <c:v>5.4</c:v>
                </c:pt>
                <c:pt idx="8">
                  <c:v>3.1</c:v>
                </c:pt>
                <c:pt idx="9">
                  <c:v>7.7</c:v>
                </c:pt>
                <c:pt idx="10">
                  <c:v>4.3</c:v>
                </c:pt>
                <c:pt idx="11">
                  <c:v>7.8</c:v>
                </c:pt>
                <c:pt idx="12">
                  <c:v>4.4000000000000004</c:v>
                </c:pt>
                <c:pt idx="13">
                  <c:v>3.8</c:v>
                </c:pt>
                <c:pt idx="14">
                  <c:v>4.4000000000000004</c:v>
                </c:pt>
                <c:pt idx="15">
                  <c:v>5.2</c:v>
                </c:pt>
                <c:pt idx="16">
                  <c:v>4.0999999999999996</c:v>
                </c:pt>
                <c:pt idx="17">
                  <c:v>3.7</c:v>
                </c:pt>
                <c:pt idx="18">
                  <c:v>6.7</c:v>
                </c:pt>
                <c:pt idx="19">
                  <c:v>2.5</c:v>
                </c:pt>
                <c:pt idx="20">
                  <c:v>4.5</c:v>
                </c:pt>
                <c:pt idx="21">
                  <c:v>5.4</c:v>
                </c:pt>
                <c:pt idx="22">
                  <c:v>3.8</c:v>
                </c:pt>
                <c:pt idx="23">
                  <c:v>2</c:v>
                </c:pt>
                <c:pt idx="24">
                  <c:v>4.3</c:v>
                </c:pt>
                <c:pt idx="25">
                  <c:v>2.5</c:v>
                </c:pt>
                <c:pt idx="26">
                  <c:v>4.5999999999999996</c:v>
                </c:pt>
                <c:pt idx="27">
                  <c:v>5.6</c:v>
                </c:pt>
                <c:pt idx="28">
                  <c:v>5.7</c:v>
                </c:pt>
                <c:pt idx="29">
                  <c:v>5.3</c:v>
                </c:pt>
                <c:pt idx="30">
                  <c:v>4.2</c:v>
                </c:pt>
              </c:numCache>
            </c:numRef>
          </c:xVal>
          <c:yVal>
            <c:numRef>
              <c:f>Correlations!$F$5:$AJ$5</c:f>
              <c:numCache>
                <c:formatCode>0.0</c:formatCode>
                <c:ptCount val="31"/>
                <c:pt idx="0">
                  <c:v>566.48739440605232</c:v>
                </c:pt>
                <c:pt idx="1">
                  <c:v>167.5004220061162</c:v>
                </c:pt>
                <c:pt idx="2">
                  <c:v>142.59772776809572</c:v>
                </c:pt>
                <c:pt idx="3">
                  <c:v>879.04097694057225</c:v>
                </c:pt>
                <c:pt idx="4">
                  <c:v>355.5343228988956</c:v>
                </c:pt>
                <c:pt idx="5">
                  <c:v>523.5307280262557</c:v>
                </c:pt>
                <c:pt idx="6">
                  <c:v>620.43565653687995</c:v>
                </c:pt>
                <c:pt idx="7">
                  <c:v>561.63894684437184</c:v>
                </c:pt>
                <c:pt idx="8">
                  <c:v>616.72503379850082</c:v>
                </c:pt>
                <c:pt idx="9">
                  <c:v>909.71012870301331</c:v>
                </c:pt>
                <c:pt idx="10">
                  <c:v>624.90993332272228</c:v>
                </c:pt>
                <c:pt idx="11">
                  <c:v>663.77683801816295</c:v>
                </c:pt>
                <c:pt idx="12">
                  <c:v>663.15875641020534</c:v>
                </c:pt>
                <c:pt idx="13">
                  <c:v>575.68478628725529</c:v>
                </c:pt>
                <c:pt idx="14">
                  <c:v>555.69711007238811</c:v>
                </c:pt>
                <c:pt idx="15">
                  <c:v>752.67167537479452</c:v>
                </c:pt>
                <c:pt idx="16">
                  <c:v>685.56462022756671</c:v>
                </c:pt>
                <c:pt idx="17">
                  <c:v>546.73919577930337</c:v>
                </c:pt>
                <c:pt idx="18">
                  <c:v>575.98283788898175</c:v>
                </c:pt>
                <c:pt idx="19">
                  <c:v>685.90752121803405</c:v>
                </c:pt>
                <c:pt idx="20">
                  <c:v>754.414038014276</c:v>
                </c:pt>
                <c:pt idx="21">
                  <c:v>428.75381924834983</c:v>
                </c:pt>
                <c:pt idx="22">
                  <c:v>631.38686041720678</c:v>
                </c:pt>
                <c:pt idx="23">
                  <c:v>199.46329407266086</c:v>
                </c:pt>
                <c:pt idx="24">
                  <c:v>287.2870466471951</c:v>
                </c:pt>
                <c:pt idx="25">
                  <c:v>200.70229180926901</c:v>
                </c:pt>
                <c:pt idx="26">
                  <c:v>376.92578747920129</c:v>
                </c:pt>
                <c:pt idx="27">
                  <c:v>655.09147711588071</c:v>
                </c:pt>
                <c:pt idx="28">
                  <c:v>564.79211069450093</c:v>
                </c:pt>
                <c:pt idx="29">
                  <c:v>352.66372891334589</c:v>
                </c:pt>
                <c:pt idx="30">
                  <c:v>239.7278076825306</c:v>
                </c:pt>
              </c:numCache>
            </c:numRef>
          </c:yVal>
          <c:smooth val="0"/>
          <c:extLst>
            <c:ext xmlns:c16="http://schemas.microsoft.com/office/drawing/2014/chart" uri="{C3380CC4-5D6E-409C-BE32-E72D297353CC}">
              <c16:uniqueId val="{0000001F-2495-4A2C-9528-5B437F53E8DD}"/>
            </c:ext>
          </c:extLst>
        </c:ser>
        <c:dLbls>
          <c:showLegendKey val="0"/>
          <c:showVal val="0"/>
          <c:showCatName val="0"/>
          <c:showSerName val="0"/>
          <c:showPercent val="0"/>
          <c:showBubbleSize val="0"/>
        </c:dLbls>
        <c:axId val="243737344"/>
        <c:axId val="243745152"/>
      </c:scatterChart>
      <c:valAx>
        <c:axId val="243737344"/>
        <c:scaling>
          <c:orientation val="minMax"/>
        </c:scaling>
        <c:delete val="0"/>
        <c:axPos val="b"/>
        <c:title>
          <c:tx>
            <c:strRef>
              <c:f>Correlations!$C$5</c:f>
              <c:strCache>
                <c:ptCount val="1"/>
                <c:pt idx="0">
                  <c:v>Unemployment Rate March 2019</c:v>
                </c:pt>
              </c:strCache>
            </c:strRef>
          </c:tx>
          <c:layout>
            <c:manualLayout>
              <c:xMode val="edge"/>
              <c:yMode val="edge"/>
              <c:x val="0.28451424091469196"/>
              <c:y val="0.95156431631147764"/>
            </c:manualLayout>
          </c:layout>
          <c:overlay val="0"/>
          <c:txPr>
            <a:bodyPr/>
            <a:lstStyle/>
            <a:p>
              <a:pPr>
                <a:defRPr sz="925" b="1" i="0" u="none" strike="noStrike" baseline="0">
                  <a:solidFill>
                    <a:srgbClr val="000000"/>
                  </a:solidFill>
                  <a:latin typeface="Times New Roman"/>
                  <a:ea typeface="Times New Roman"/>
                  <a:cs typeface="Times New Roman"/>
                </a:defRPr>
              </a:pPr>
              <a:endParaRPr lang="en-US"/>
            </a:p>
          </c:txPr>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43745152"/>
        <c:crosses val="autoZero"/>
        <c:crossBetween val="midCat"/>
      </c:valAx>
      <c:valAx>
        <c:axId val="243745152"/>
        <c:scaling>
          <c:orientation val="minMax"/>
        </c:scaling>
        <c:delete val="0"/>
        <c:axPos val="l"/>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43737344"/>
        <c:crosses val="autoZero"/>
        <c:crossBetween val="midCat"/>
      </c:valAx>
      <c:spPr>
        <a:noFill/>
        <a:ln w="25400">
          <a:noFill/>
        </a:ln>
      </c:spPr>
    </c:plotArea>
    <c:plotVisOnly val="1"/>
    <c:dispBlanksAs val="gap"/>
    <c:showDLblsOverMax val="0"/>
  </c:chart>
  <c:spPr>
    <a:noFill/>
    <a:ln w="9525">
      <a:noFill/>
    </a:ln>
  </c:spPr>
  <c:txPr>
    <a:bodyPr/>
    <a:lstStyle/>
    <a:p>
      <a:pPr>
        <a:defRPr sz="9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211" r="0.75000000000000211"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01654359737087E-2"/>
          <c:y val="1.3777838806282453E-2"/>
          <c:w val="0.85885322985649803"/>
          <c:h val="0.89317225422686009"/>
        </c:manualLayout>
      </c:layout>
      <c:lineChart>
        <c:grouping val="standard"/>
        <c:varyColors val="0"/>
        <c:ser>
          <c:idx val="0"/>
          <c:order val="0"/>
          <c:tx>
            <c:strRef>
              <c:f>'Gaming Trends'!$C$10</c:f>
              <c:strCache>
                <c:ptCount val="1"/>
                <c:pt idx="0">
                  <c:v>Greater Dandenong</c:v>
                </c:pt>
              </c:strCache>
            </c:strRef>
          </c:tx>
          <c:spPr>
            <a:ln w="25400">
              <a:solidFill>
                <a:schemeClr val="tx2">
                  <a:lumMod val="75000"/>
                </a:schemeClr>
              </a:solidFill>
              <a:prstDash val="dash"/>
            </a:ln>
          </c:spPr>
          <c:marker>
            <c:symbol val="none"/>
          </c:marker>
          <c:dLbls>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38-4E70-AA9F-366184B085C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'Gaming Trends'!$B$11:$B$37</c:f>
              <c:strCache>
                <c:ptCount val="27"/>
                <c:pt idx="0">
                  <c:v>1992/3</c:v>
                </c:pt>
                <c:pt idx="1">
                  <c:v>1993/4</c:v>
                </c:pt>
                <c:pt idx="2">
                  <c:v>1994/5</c:v>
                </c:pt>
                <c:pt idx="3">
                  <c:v>1995/6</c:v>
                </c:pt>
                <c:pt idx="4">
                  <c:v>1996/7</c:v>
                </c:pt>
                <c:pt idx="5">
                  <c:v>1997/8</c:v>
                </c:pt>
                <c:pt idx="6">
                  <c:v>1998/9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strCache>
            </c:strRef>
          </c:cat>
          <c:val>
            <c:numRef>
              <c:f>'Gaming Trends'!$C$11:$C$37</c:f>
              <c:numCache>
                <c:formatCode>#,##0.0</c:formatCode>
                <c:ptCount val="27"/>
                <c:pt idx="0">
                  <c:v>24.830746030546621</c:v>
                </c:pt>
                <c:pt idx="1">
                  <c:v>64.257652897314372</c:v>
                </c:pt>
                <c:pt idx="2">
                  <c:v>83.123574371951221</c:v>
                </c:pt>
                <c:pt idx="3">
                  <c:v>102.91035801337296</c:v>
                </c:pt>
                <c:pt idx="4">
                  <c:v>109.88931604209749</c:v>
                </c:pt>
                <c:pt idx="5">
                  <c:v>127.30267035588233</c:v>
                </c:pt>
                <c:pt idx="6">
                  <c:v>141.36159236443146</c:v>
                </c:pt>
                <c:pt idx="7">
                  <c:v>148.82024899228489</c:v>
                </c:pt>
                <c:pt idx="8">
                  <c:v>154.00062925565913</c:v>
                </c:pt>
                <c:pt idx="9">
                  <c:v>161.9293676517982</c:v>
                </c:pt>
                <c:pt idx="10">
                  <c:v>139.76440721326634</c:v>
                </c:pt>
                <c:pt idx="11">
                  <c:v>134.54586041805658</c:v>
                </c:pt>
                <c:pt idx="12">
                  <c:v>140.80791888104818</c:v>
                </c:pt>
                <c:pt idx="13">
                  <c:v>139.21113971457075</c:v>
                </c:pt>
                <c:pt idx="14">
                  <c:v>141.84002632121729</c:v>
                </c:pt>
                <c:pt idx="15">
                  <c:v>143.25113475720045</c:v>
                </c:pt>
                <c:pt idx="16">
                  <c:v>147.71886992872982</c:v>
                </c:pt>
                <c:pt idx="17">
                  <c:v>135.89490051649273</c:v>
                </c:pt>
                <c:pt idx="18">
                  <c:v>133.92982472153221</c:v>
                </c:pt>
                <c:pt idx="19">
                  <c:v>132.66141379515935</c:v>
                </c:pt>
                <c:pt idx="20">
                  <c:v>120.69764354077974</c:v>
                </c:pt>
                <c:pt idx="21">
                  <c:v>117.83054775932953</c:v>
                </c:pt>
                <c:pt idx="22">
                  <c:v>123.77815545220356</c:v>
                </c:pt>
                <c:pt idx="23">
                  <c:v>123.97967175040515</c:v>
                </c:pt>
                <c:pt idx="24">
                  <c:v>120.63907693963063</c:v>
                </c:pt>
                <c:pt idx="25">
                  <c:v>120.88659267112477</c:v>
                </c:pt>
                <c:pt idx="26">
                  <c:v>119.31187792999999</c:v>
                </c:pt>
              </c:numCache>
            </c:numRef>
          </c:val>
          <c:smooth val="1"/>
          <c:extLst>
            <c:ext xmlns:c16="http://schemas.microsoft.com/office/drawing/2014/chart" uri="{C3380CC4-5D6E-409C-BE32-E72D297353CC}">
              <c16:uniqueId val="{00000001-F738-4E70-AA9F-366184B085C4}"/>
            </c:ext>
          </c:extLst>
        </c:ser>
        <c:ser>
          <c:idx val="1"/>
          <c:order val="1"/>
          <c:tx>
            <c:strRef>
              <c:f>'Gaming Trends'!$D$10</c:f>
              <c:strCache>
                <c:ptCount val="1"/>
                <c:pt idx="0">
                  <c:v>Nillumbik</c:v>
                </c:pt>
              </c:strCache>
            </c:strRef>
          </c:tx>
          <c:spPr>
            <a:ln>
              <a:solidFill>
                <a:schemeClr val="accent3">
                  <a:lumMod val="75000"/>
                </a:schemeClr>
              </a:solidFill>
            </a:ln>
          </c:spPr>
          <c:marker>
            <c:symbol val="none"/>
          </c:marker>
          <c:dLbls>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38-4E70-AA9F-366184B085C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'Gaming Trends'!$B$11:$B$37</c:f>
              <c:strCache>
                <c:ptCount val="27"/>
                <c:pt idx="0">
                  <c:v>1992/3</c:v>
                </c:pt>
                <c:pt idx="1">
                  <c:v>1993/4</c:v>
                </c:pt>
                <c:pt idx="2">
                  <c:v>1994/5</c:v>
                </c:pt>
                <c:pt idx="3">
                  <c:v>1995/6</c:v>
                </c:pt>
                <c:pt idx="4">
                  <c:v>1996/7</c:v>
                </c:pt>
                <c:pt idx="5">
                  <c:v>1997/8</c:v>
                </c:pt>
                <c:pt idx="6">
                  <c:v>1998/9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strCache>
            </c:strRef>
          </c:cat>
          <c:val>
            <c:numRef>
              <c:f>'Gaming Trends'!$D$11:$D$37</c:f>
              <c:numCache>
                <c:formatCode>#,##0.0</c:formatCode>
                <c:ptCount val="27"/>
                <c:pt idx="0">
                  <c:v>0</c:v>
                </c:pt>
                <c:pt idx="1">
                  <c:v>0.90439532385466037</c:v>
                </c:pt>
                <c:pt idx="2">
                  <c:v>3.427647974085366</c:v>
                </c:pt>
                <c:pt idx="3">
                  <c:v>4.1892683417533432</c:v>
                </c:pt>
                <c:pt idx="4">
                  <c:v>5.5048820300738548</c:v>
                </c:pt>
                <c:pt idx="5">
                  <c:v>12.388762007794117</c:v>
                </c:pt>
                <c:pt idx="6">
                  <c:v>15.390695122448982</c:v>
                </c:pt>
                <c:pt idx="7">
                  <c:v>17.9847142361354</c:v>
                </c:pt>
                <c:pt idx="8">
                  <c:v>17.413307824234355</c:v>
                </c:pt>
                <c:pt idx="9">
                  <c:v>17.316598869391981</c:v>
                </c:pt>
                <c:pt idx="10">
                  <c:v>14.762820206570353</c:v>
                </c:pt>
                <c:pt idx="11">
                  <c:v>13.416326351512918</c:v>
                </c:pt>
                <c:pt idx="12">
                  <c:v>13.832681707012048</c:v>
                </c:pt>
                <c:pt idx="13">
                  <c:v>13.554479992621811</c:v>
                </c:pt>
                <c:pt idx="14">
                  <c:v>13.900682866905571</c:v>
                </c:pt>
                <c:pt idx="15">
                  <c:v>13.169977831328975</c:v>
                </c:pt>
                <c:pt idx="16">
                  <c:v>13.274261672906349</c:v>
                </c:pt>
                <c:pt idx="17">
                  <c:v>11.771383531430063</c:v>
                </c:pt>
                <c:pt idx="18">
                  <c:v>11.135508774566533</c:v>
                </c:pt>
                <c:pt idx="19">
                  <c:v>10.498544688675299</c:v>
                </c:pt>
                <c:pt idx="20">
                  <c:v>8.5705802116471741</c:v>
                </c:pt>
                <c:pt idx="21">
                  <c:v>7.7903437417469306</c:v>
                </c:pt>
                <c:pt idx="22">
                  <c:v>7.9493506223342667</c:v>
                </c:pt>
                <c:pt idx="23">
                  <c:v>8.609569651721916</c:v>
                </c:pt>
                <c:pt idx="24">
                  <c:v>8.470473979396397</c:v>
                </c:pt>
                <c:pt idx="25">
                  <c:v>8.958426313295254</c:v>
                </c:pt>
                <c:pt idx="26">
                  <c:v>9.8500882300000008</c:v>
                </c:pt>
              </c:numCache>
            </c:numRef>
          </c:val>
          <c:smooth val="1"/>
          <c:extLst>
            <c:ext xmlns:c16="http://schemas.microsoft.com/office/drawing/2014/chart" uri="{C3380CC4-5D6E-409C-BE32-E72D297353CC}">
              <c16:uniqueId val="{00000003-F738-4E70-AA9F-366184B085C4}"/>
            </c:ext>
          </c:extLst>
        </c:ser>
        <c:dLbls>
          <c:showLegendKey val="0"/>
          <c:showVal val="0"/>
          <c:showCatName val="0"/>
          <c:showSerName val="0"/>
          <c:showPercent val="0"/>
          <c:showBubbleSize val="0"/>
        </c:dLbls>
        <c:smooth val="0"/>
        <c:axId val="255661568"/>
        <c:axId val="255663488"/>
      </c:lineChart>
      <c:catAx>
        <c:axId val="255661568"/>
        <c:scaling>
          <c:orientation val="minMax"/>
        </c:scaling>
        <c:delete val="0"/>
        <c:axPos val="b"/>
        <c:numFmt formatCode="General" sourceLinked="0"/>
        <c:majorTickMark val="none"/>
        <c:minorTickMark val="none"/>
        <c:tickLblPos val="nextTo"/>
        <c:txPr>
          <a:bodyPr/>
          <a:lstStyle/>
          <a:p>
            <a:pPr>
              <a:defRPr sz="800"/>
            </a:pPr>
            <a:endParaRPr lang="en-US"/>
          </a:p>
        </c:txPr>
        <c:crossAx val="255663488"/>
        <c:crosses val="autoZero"/>
        <c:auto val="1"/>
        <c:lblAlgn val="ctr"/>
        <c:lblOffset val="100"/>
        <c:noMultiLvlLbl val="0"/>
      </c:catAx>
      <c:valAx>
        <c:axId val="255663488"/>
        <c:scaling>
          <c:orientation val="minMax"/>
        </c:scaling>
        <c:delete val="0"/>
        <c:axPos val="l"/>
        <c:title>
          <c:tx>
            <c:rich>
              <a:bodyPr rot="-5400000" vert="horz"/>
              <a:lstStyle/>
              <a:p>
                <a:pPr>
                  <a:defRPr/>
                </a:pPr>
                <a:r>
                  <a:rPr lang="en-US"/>
                  <a:t>Annual Expenditure ($millions)</a:t>
                </a:r>
              </a:p>
            </c:rich>
          </c:tx>
          <c:layout>
            <c:manualLayout>
              <c:xMode val="edge"/>
              <c:yMode val="edge"/>
              <c:x val="2.054687775431459E-3"/>
              <c:y val="0.3000608105457257"/>
            </c:manualLayout>
          </c:layout>
          <c:overlay val="0"/>
        </c:title>
        <c:numFmt formatCode="#,##0" sourceLinked="0"/>
        <c:majorTickMark val="none"/>
        <c:minorTickMark val="none"/>
        <c:tickLblPos val="nextTo"/>
        <c:txPr>
          <a:bodyPr/>
          <a:lstStyle/>
          <a:p>
            <a:pPr>
              <a:defRPr sz="800"/>
            </a:pPr>
            <a:endParaRPr lang="en-US"/>
          </a:p>
        </c:txPr>
        <c:crossAx val="255661568"/>
        <c:crosses val="autoZero"/>
        <c:crossBetween val="between"/>
      </c:valAx>
    </c:plotArea>
    <c:legend>
      <c:legendPos val="r"/>
      <c:layout>
        <c:manualLayout>
          <c:xMode val="edge"/>
          <c:yMode val="edge"/>
          <c:x val="0.64050047924043774"/>
          <c:y val="0.7528175552852866"/>
          <c:w val="0.2759535072862393"/>
          <c:h val="8.6655158476839536E-2"/>
        </c:manualLayout>
      </c:layout>
      <c:overlay val="0"/>
      <c:txPr>
        <a:bodyPr/>
        <a:lstStyle/>
        <a:p>
          <a:pPr>
            <a:defRPr sz="800"/>
          </a:pPr>
          <a:endParaRPr lang="en-US"/>
        </a:p>
      </c:txPr>
    </c:legend>
    <c:plotVisOnly val="1"/>
    <c:dispBlanksAs val="gap"/>
    <c:showDLblsOverMax val="0"/>
  </c:chart>
  <c:spPr>
    <a:ln>
      <a:noFill/>
    </a:ln>
  </c:spPr>
  <c:txPr>
    <a:bodyPr/>
    <a:lstStyle/>
    <a:p>
      <a:pPr>
        <a:defRPr sz="900"/>
      </a:pPr>
      <a:endParaRPr lang="en-US"/>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761437772534317E-2"/>
          <c:y val="3.6692285902316345E-2"/>
          <c:w val="0.89686688340633913"/>
          <c:h val="0.95223109396617311"/>
        </c:manualLayout>
      </c:layout>
      <c:barChart>
        <c:barDir val="bar"/>
        <c:grouping val="clustered"/>
        <c:varyColors val="0"/>
        <c:ser>
          <c:idx val="0"/>
          <c:order val="0"/>
          <c:spPr>
            <a:solidFill>
              <a:schemeClr val="bg2">
                <a:lumMod val="90000"/>
              </a:schemeClr>
            </a:solidFill>
            <a:effectLst>
              <a:outerShdw blurRad="50800" dist="38100" dir="18900000" algn="bl" rotWithShape="0">
                <a:prstClr val="black">
                  <a:alpha val="40000"/>
                </a:prstClr>
              </a:outerShdw>
            </a:effectLst>
          </c:spPr>
          <c:invertIfNegative val="0"/>
          <c:cat>
            <c:strRef>
              <c:f>'Gaming Trends'!$AH$8:$AH$38</c:f>
              <c:strCache>
                <c:ptCount val="31"/>
                <c:pt idx="0">
                  <c:v>Melton</c:v>
                </c:pt>
                <c:pt idx="1">
                  <c:v>Cardinia</c:v>
                </c:pt>
                <c:pt idx="2">
                  <c:v>Wyndham</c:v>
                </c:pt>
                <c:pt idx="3">
                  <c:v>Casey</c:v>
                </c:pt>
                <c:pt idx="4">
                  <c:v>Whittlesea</c:v>
                </c:pt>
                <c:pt idx="5">
                  <c:v>Hume</c:v>
                </c:pt>
                <c:pt idx="6">
                  <c:v>Brimbank</c:v>
                </c:pt>
                <c:pt idx="7">
                  <c:v>Greater Dandenong</c:v>
                </c:pt>
                <c:pt idx="8">
                  <c:v>Melbourne</c:v>
                </c:pt>
                <c:pt idx="9">
                  <c:v>Mornington Pen.</c:v>
                </c:pt>
                <c:pt idx="10">
                  <c:v>Hobsons Bay</c:v>
                </c:pt>
                <c:pt idx="11">
                  <c:v>Moonee Valley</c:v>
                </c:pt>
                <c:pt idx="12">
                  <c:v>Maroondah</c:v>
                </c:pt>
                <c:pt idx="13">
                  <c:v>Kingston</c:v>
                </c:pt>
                <c:pt idx="14">
                  <c:v>Frankston</c:v>
                </c:pt>
                <c:pt idx="15">
                  <c:v>Boroondara</c:v>
                </c:pt>
                <c:pt idx="16">
                  <c:v>Whitehorse</c:v>
                </c:pt>
                <c:pt idx="17">
                  <c:v>Glen Eira</c:v>
                </c:pt>
                <c:pt idx="18">
                  <c:v>Maribyrnong</c:v>
                </c:pt>
                <c:pt idx="19">
                  <c:v>Banyule</c:v>
                </c:pt>
                <c:pt idx="20">
                  <c:v>Darebin</c:v>
                </c:pt>
                <c:pt idx="21">
                  <c:v>Manningham</c:v>
                </c:pt>
                <c:pt idx="22">
                  <c:v>Yarra Ranges</c:v>
                </c:pt>
                <c:pt idx="23">
                  <c:v>Moreland</c:v>
                </c:pt>
                <c:pt idx="24">
                  <c:v>Nillumbik</c:v>
                </c:pt>
                <c:pt idx="25">
                  <c:v>Monash</c:v>
                </c:pt>
                <c:pt idx="26">
                  <c:v>Yarra</c:v>
                </c:pt>
                <c:pt idx="27">
                  <c:v>Port Phillip</c:v>
                </c:pt>
                <c:pt idx="28">
                  <c:v>Knox</c:v>
                </c:pt>
                <c:pt idx="29">
                  <c:v>Stonnington</c:v>
                </c:pt>
                <c:pt idx="30">
                  <c:v>Bayside</c:v>
                </c:pt>
              </c:strCache>
            </c:strRef>
          </c:cat>
          <c:val>
            <c:numRef>
              <c:f>'Gaming Trends'!$AI$8:$AI$38</c:f>
              <c:numCache>
                <c:formatCode>#,##0</c:formatCode>
                <c:ptCount val="31"/>
                <c:pt idx="0">
                  <c:v>72.475343981386203</c:v>
                </c:pt>
                <c:pt idx="1">
                  <c:v>45.867847731688144</c:v>
                </c:pt>
                <c:pt idx="2">
                  <c:v>19.093693301066089</c:v>
                </c:pt>
                <c:pt idx="3">
                  <c:v>-7.5694458263181623</c:v>
                </c:pt>
                <c:pt idx="4">
                  <c:v>-10.426494858470093</c:v>
                </c:pt>
                <c:pt idx="5">
                  <c:v>-10.911604726058517</c:v>
                </c:pt>
                <c:pt idx="6">
                  <c:v>-12.300285732859539</c:v>
                </c:pt>
                <c:pt idx="7">
                  <c:v>-26.318467372806595</c:v>
                </c:pt>
                <c:pt idx="8">
                  <c:v>-27.746183856289953</c:v>
                </c:pt>
                <c:pt idx="9">
                  <c:v>-29.349085911961904</c:v>
                </c:pt>
                <c:pt idx="10">
                  <c:v>-34.13618867796405</c:v>
                </c:pt>
                <c:pt idx="11">
                  <c:v>-36.118374793574297</c:v>
                </c:pt>
                <c:pt idx="12">
                  <c:v>-36.708012048891014</c:v>
                </c:pt>
                <c:pt idx="13">
                  <c:v>-37.212775464622979</c:v>
                </c:pt>
                <c:pt idx="14">
                  <c:v>-37.250540015477625</c:v>
                </c:pt>
                <c:pt idx="15">
                  <c:v>-37.785953887868381</c:v>
                </c:pt>
                <c:pt idx="16">
                  <c:v>-37.871210561404816</c:v>
                </c:pt>
                <c:pt idx="17">
                  <c:v>-38.157898716009434</c:v>
                </c:pt>
                <c:pt idx="18">
                  <c:v>-38.475698658724262</c:v>
                </c:pt>
                <c:pt idx="19">
                  <c:v>-40.681398538313566</c:v>
                </c:pt>
                <c:pt idx="20">
                  <c:v>-41.696100742330067</c:v>
                </c:pt>
                <c:pt idx="21">
                  <c:v>-41.950921403621557</c:v>
                </c:pt>
                <c:pt idx="22">
                  <c:v>-41.971925056515587</c:v>
                </c:pt>
                <c:pt idx="23">
                  <c:v>-42.545950496260922</c:v>
                </c:pt>
                <c:pt idx="24">
                  <c:v>-43.117410848801718</c:v>
                </c:pt>
                <c:pt idx="25">
                  <c:v>-44.390748554086791</c:v>
                </c:pt>
                <c:pt idx="26">
                  <c:v>-45.154251542579352</c:v>
                </c:pt>
                <c:pt idx="27">
                  <c:v>-45.969518008098312</c:v>
                </c:pt>
                <c:pt idx="28">
                  <c:v>-47.00614558904207</c:v>
                </c:pt>
                <c:pt idx="29">
                  <c:v>-48.698696707906571</c:v>
                </c:pt>
                <c:pt idx="30">
                  <c:v>-54.214743877090989</c:v>
                </c:pt>
              </c:numCache>
            </c:numRef>
          </c:val>
          <c:extLst>
            <c:ext xmlns:c16="http://schemas.microsoft.com/office/drawing/2014/chart" uri="{C3380CC4-5D6E-409C-BE32-E72D297353CC}">
              <c16:uniqueId val="{00000000-6B57-4775-87B2-F86B631B20DD}"/>
            </c:ext>
          </c:extLst>
        </c:ser>
        <c:dLbls>
          <c:showLegendKey val="0"/>
          <c:showVal val="0"/>
          <c:showCatName val="0"/>
          <c:showSerName val="0"/>
          <c:showPercent val="0"/>
          <c:showBubbleSize val="0"/>
        </c:dLbls>
        <c:gapWidth val="83"/>
        <c:axId val="262640000"/>
        <c:axId val="262641536"/>
      </c:barChart>
      <c:catAx>
        <c:axId val="262640000"/>
        <c:scaling>
          <c:orientation val="maxMin"/>
        </c:scaling>
        <c:delete val="0"/>
        <c:axPos val="l"/>
        <c:numFmt formatCode="General" sourceLinked="1"/>
        <c:majorTickMark val="none"/>
        <c:minorTickMark val="none"/>
        <c:tickLblPos val="nextTo"/>
        <c:txPr>
          <a:bodyPr/>
          <a:lstStyle/>
          <a:p>
            <a:pPr>
              <a:defRPr sz="750"/>
            </a:pPr>
            <a:endParaRPr lang="en-US"/>
          </a:p>
        </c:txPr>
        <c:crossAx val="262641536"/>
        <c:crosses val="autoZero"/>
        <c:auto val="1"/>
        <c:lblAlgn val="ctr"/>
        <c:lblOffset val="100"/>
        <c:noMultiLvlLbl val="0"/>
      </c:catAx>
      <c:valAx>
        <c:axId val="262641536"/>
        <c:scaling>
          <c:orientation val="minMax"/>
        </c:scaling>
        <c:delete val="0"/>
        <c:axPos val="t"/>
        <c:numFmt formatCode="#,##0" sourceLinked="1"/>
        <c:majorTickMark val="none"/>
        <c:minorTickMark val="none"/>
        <c:tickLblPos val="nextTo"/>
        <c:txPr>
          <a:bodyPr/>
          <a:lstStyle/>
          <a:p>
            <a:pPr>
              <a:defRPr sz="750"/>
            </a:pPr>
            <a:endParaRPr lang="en-US"/>
          </a:p>
        </c:txPr>
        <c:crossAx val="2626400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22" l="0.70000000000000018" r="0.70000000000000018" t="0.75000000000000022" header="0.3000000000000001" footer="0.3000000000000001"/>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10.xml><?xml version="1.0" encoding="utf-8"?>
<formControlPr xmlns="http://schemas.microsoft.com/office/spreadsheetml/2009/9/main" objectType="Drop" dropLines="27" dropStyle="combo" dx="16" fmlaLink="$Y$3" fmlaRange="$B$11:$B$37" sel="10" val="0"/>
</file>

<file path=xl/ctrlProps/ctrlProp11.xml><?xml version="1.0" encoding="utf-8"?>
<formControlPr xmlns="http://schemas.microsoft.com/office/spreadsheetml/2009/9/main" objectType="Drop" dropLines="27" dropStyle="combo" dx="16" fmlaLink="$AA$3" fmlaRange="$B$11:$B$37" sel="27" val="0"/>
</file>

<file path=xl/ctrlProps/ctrlProp12.xml><?xml version="1.0" encoding="utf-8"?>
<formControlPr xmlns="http://schemas.microsoft.com/office/spreadsheetml/2009/9/main" objectType="Drop" dropLines="82" dropStyle="combo" dx="16" fmlaLink="$AC$5" fmlaRange="$R$4:$R$5" sel="2" val="0"/>
</file>

<file path=xl/ctrlProps/ctrlProp13.xml><?xml version="1.0" encoding="utf-8"?>
<formControlPr xmlns="http://schemas.microsoft.com/office/spreadsheetml/2009/9/main" objectType="Drop" dropLines="2" dropStyle="combo" dx="16" fmlaLink="$AC$3" fmlaRange="$X$9:$X$10" sel="2"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ctrlProps/ctrlProp4.xml><?xml version="1.0" encoding="utf-8"?>
<formControlPr xmlns="http://schemas.microsoft.com/office/spreadsheetml/2009/9/main" objectType="Drop" dropLines="10" dropStyle="combo" dx="16" fmlaLink="$B$4" fmlaRange="'3 Correl Data Metro'!$C$5:$C$12" sel="6" val="0"/>
</file>

<file path=xl/ctrlProps/ctrlProp5.xml><?xml version="1.0" encoding="utf-8"?>
<formControlPr xmlns="http://schemas.microsoft.com/office/spreadsheetml/2009/9/main" objectType="Drop" dropLines="45" dropStyle="combo" dx="16" fmlaLink="$E$4" fmlaRange="'Data (2)'!$B$5:$B$36" sel="10" val="0"/>
</file>

<file path=xl/ctrlProps/ctrlProp6.xml><?xml version="1.0" encoding="utf-8"?>
<formControlPr xmlns="http://schemas.microsoft.com/office/spreadsheetml/2009/9/main" objectType="Drop" dropLines="45" dropStyle="combo" dx="16" fmlaLink="$E$6" fmlaRange="'Data (2)'!$B$5:$B$36" sel="24" val="0"/>
</file>

<file path=xl/ctrlProps/ctrlProp7.xml><?xml version="1.0" encoding="utf-8"?>
<formControlPr xmlns="http://schemas.microsoft.com/office/spreadsheetml/2009/9/main" objectType="Drop" dropLines="82" dropStyle="combo" dx="16" fmlaLink="$E$8" fmlaRange="$R$4:$R$5" sel="2" val="0"/>
</file>

<file path=xl/ctrlProps/ctrlProp8.xml><?xml version="1.0" encoding="utf-8"?>
<formControlPr xmlns="http://schemas.microsoft.com/office/spreadsheetml/2009/9/main" objectType="Drop" dropLines="27" dropStyle="combo" dx="16" fmlaLink="$J$4" fmlaRange="$B$11:$B$37" sel="10" val="0"/>
</file>

<file path=xl/ctrlProps/ctrlProp9.xml><?xml version="1.0" encoding="utf-8"?>
<formControlPr xmlns="http://schemas.microsoft.com/office/spreadsheetml/2009/9/main" objectType="Drop" dropLines="27" dropStyle="combo" dx="16" fmlaLink="$J$6" fmlaRange="$B$11:$B$37" sel="27" val="0"/>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3.xml"/><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11</xdr:col>
      <xdr:colOff>199161</xdr:colOff>
      <xdr:row>16</xdr:row>
      <xdr:rowOff>109711</xdr:rowOff>
    </xdr:from>
    <xdr:to>
      <xdr:col>13</xdr:col>
      <xdr:colOff>233796</xdr:colOff>
      <xdr:row>21</xdr:row>
      <xdr:rowOff>44162</xdr:rowOff>
    </xdr:to>
    <xdr:pic>
      <xdr:nvPicPr>
        <xdr:cNvPr id="2" name="Picture 1" descr="Gaming Machine 2.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883979" y="4395961"/>
          <a:ext cx="1402772" cy="1016837"/>
        </a:xfrm>
        <a:prstGeom prst="rect">
          <a:avLst/>
        </a:prstGeom>
        <a:ln>
          <a:noFill/>
        </a:ln>
        <a:effectLst>
          <a:softEdge rad="215900"/>
        </a:effectLst>
      </xdr:spPr>
    </xdr:pic>
    <xdr:clientData/>
  </xdr:twoCellAnchor>
  <xdr:twoCellAnchor editAs="oneCell">
    <xdr:from>
      <xdr:col>1</xdr:col>
      <xdr:colOff>147203</xdr:colOff>
      <xdr:row>0</xdr:row>
      <xdr:rowOff>0</xdr:rowOff>
    </xdr:from>
    <xdr:to>
      <xdr:col>3</xdr:col>
      <xdr:colOff>591414</xdr:colOff>
      <xdr:row>2</xdr:row>
      <xdr:rowOff>111702</xdr:rowOff>
    </xdr:to>
    <xdr:pic>
      <xdr:nvPicPr>
        <xdr:cNvPr id="3" name="Picture 2" descr="Gambling machine 3.jpg">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cstate="print"/>
        <a:stretch>
          <a:fillRect/>
        </a:stretch>
      </xdr:blipFill>
      <xdr:spPr>
        <a:xfrm>
          <a:off x="502226" y="0"/>
          <a:ext cx="1301461" cy="1020907"/>
        </a:xfrm>
        <a:prstGeom prst="rect">
          <a:avLst/>
        </a:prstGeom>
        <a:ln>
          <a:noFill/>
        </a:ln>
        <a:effectLst>
          <a:softEdge rad="228600"/>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8282</xdr:colOff>
      <xdr:row>1</xdr:row>
      <xdr:rowOff>42334</xdr:rowOff>
    </xdr:to>
    <xdr:sp macro="" textlink="">
      <xdr:nvSpPr>
        <xdr:cNvPr id="2107" name="Text Box 2">
          <a:extLst>
            <a:ext uri="{FF2B5EF4-FFF2-40B4-BE49-F238E27FC236}">
              <a16:creationId xmlns:a16="http://schemas.microsoft.com/office/drawing/2014/main" id="{00000000-0008-0000-0100-00003B080000}"/>
            </a:ext>
          </a:extLst>
        </xdr:cNvPr>
        <xdr:cNvSpPr txBox="1">
          <a:spLocks noChangeArrowheads="1"/>
        </xdr:cNvSpPr>
      </xdr:nvSpPr>
      <xdr:spPr bwMode="auto">
        <a:xfrm>
          <a:off x="10584" y="9525"/>
          <a:ext cx="8006981" cy="355831"/>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2019</a:t>
          </a:r>
        </a:p>
      </xdr:txBody>
    </xdr:sp>
    <xdr:clientData/>
  </xdr:twoCellAnchor>
  <xdr:twoCellAnchor editAs="oneCell">
    <xdr:from>
      <xdr:col>0</xdr:col>
      <xdr:colOff>0</xdr:colOff>
      <xdr:row>0</xdr:row>
      <xdr:rowOff>16565</xdr:rowOff>
    </xdr:from>
    <xdr:to>
      <xdr:col>0</xdr:col>
      <xdr:colOff>1151283</xdr:colOff>
      <xdr:row>3</xdr:row>
      <xdr:rowOff>55215</xdr:rowOff>
    </xdr:to>
    <xdr:pic>
      <xdr:nvPicPr>
        <xdr:cNvPr id="4" name="Picture 3" descr="Gaming Machine 2.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0" y="16565"/>
          <a:ext cx="1151283" cy="767520"/>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219075</xdr:rowOff>
        </xdr:from>
        <xdr:to>
          <xdr:col>4</xdr:col>
          <xdr:colOff>0</xdr:colOff>
          <xdr:row>3</xdr:row>
          <xdr:rowOff>47625</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xdr:row>
          <xdr:rowOff>219075</xdr:rowOff>
        </xdr:from>
        <xdr:to>
          <xdr:col>7</xdr:col>
          <xdr:colOff>504825</xdr:colOff>
          <xdr:row>3</xdr:row>
          <xdr:rowOff>47625</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16</xdr:col>
      <xdr:colOff>0</xdr:colOff>
      <xdr:row>173</xdr:row>
      <xdr:rowOff>0</xdr:rowOff>
    </xdr:from>
    <xdr:to>
      <xdr:col>16</xdr:col>
      <xdr:colOff>9525</xdr:colOff>
      <xdr:row>195</xdr:row>
      <xdr:rowOff>142875</xdr:rowOff>
    </xdr:to>
    <xdr:pic>
      <xdr:nvPicPr>
        <xdr:cNvPr id="377958" name="Picture 1" descr="ecblank">
          <a:extLst>
            <a:ext uri="{FF2B5EF4-FFF2-40B4-BE49-F238E27FC236}">
              <a16:creationId xmlns:a16="http://schemas.microsoft.com/office/drawing/2014/main" id="{00000000-0008-0000-0200-000066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1857375"/>
          <a:ext cx="9525" cy="142875"/>
        </a:xfrm>
        <a:prstGeom prst="rect">
          <a:avLst/>
        </a:prstGeom>
        <a:noFill/>
        <a:ln w="9525">
          <a:noFill/>
          <a:miter lim="800000"/>
          <a:headEnd/>
          <a:tailEnd/>
        </a:ln>
      </xdr:spPr>
    </xdr:pic>
    <xdr:clientData/>
  </xdr:twoCellAnchor>
  <xdr:twoCellAnchor editAs="oneCell">
    <xdr:from>
      <xdr:col>16</xdr:col>
      <xdr:colOff>0</xdr:colOff>
      <xdr:row>173</xdr:row>
      <xdr:rowOff>0</xdr:rowOff>
    </xdr:from>
    <xdr:to>
      <xdr:col>16</xdr:col>
      <xdr:colOff>9525</xdr:colOff>
      <xdr:row>195</xdr:row>
      <xdr:rowOff>142875</xdr:rowOff>
    </xdr:to>
    <xdr:pic>
      <xdr:nvPicPr>
        <xdr:cNvPr id="377959" name="Picture 2" descr="ecblank">
          <a:extLst>
            <a:ext uri="{FF2B5EF4-FFF2-40B4-BE49-F238E27FC236}">
              <a16:creationId xmlns:a16="http://schemas.microsoft.com/office/drawing/2014/main" id="{00000000-0008-0000-0200-000067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1857375"/>
          <a:ext cx="9525" cy="142875"/>
        </a:xfrm>
        <a:prstGeom prst="rect">
          <a:avLst/>
        </a:prstGeom>
        <a:noFill/>
        <a:ln w="9525">
          <a:noFill/>
          <a:miter lim="800000"/>
          <a:headEnd/>
          <a:tailEnd/>
        </a:ln>
      </xdr:spPr>
    </xdr:pic>
    <xdr:clientData/>
  </xdr:twoCellAnchor>
  <xdr:twoCellAnchor editAs="oneCell">
    <xdr:from>
      <xdr:col>16</xdr:col>
      <xdr:colOff>0</xdr:colOff>
      <xdr:row>10</xdr:row>
      <xdr:rowOff>0</xdr:rowOff>
    </xdr:from>
    <xdr:to>
      <xdr:col>16</xdr:col>
      <xdr:colOff>9525</xdr:colOff>
      <xdr:row>119</xdr:row>
      <xdr:rowOff>142875</xdr:rowOff>
    </xdr:to>
    <xdr:pic>
      <xdr:nvPicPr>
        <xdr:cNvPr id="377960" name="Picture 3" descr="ecblank">
          <a:extLst>
            <a:ext uri="{FF2B5EF4-FFF2-40B4-BE49-F238E27FC236}">
              <a16:creationId xmlns:a16="http://schemas.microsoft.com/office/drawing/2014/main" id="{00000000-0008-0000-0200-000068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1400175"/>
          <a:ext cx="9525" cy="142875"/>
        </a:xfrm>
        <a:prstGeom prst="rect">
          <a:avLst/>
        </a:prstGeom>
        <a:noFill/>
        <a:ln w="9525">
          <a:noFill/>
          <a:miter lim="800000"/>
          <a:headEnd/>
          <a:tailEnd/>
        </a:ln>
      </xdr:spPr>
    </xdr:pic>
    <xdr:clientData/>
  </xdr:twoCellAnchor>
  <xdr:twoCellAnchor editAs="oneCell">
    <xdr:from>
      <xdr:col>16</xdr:col>
      <xdr:colOff>0</xdr:colOff>
      <xdr:row>10</xdr:row>
      <xdr:rowOff>0</xdr:rowOff>
    </xdr:from>
    <xdr:to>
      <xdr:col>16</xdr:col>
      <xdr:colOff>9525</xdr:colOff>
      <xdr:row>119</xdr:row>
      <xdr:rowOff>142875</xdr:rowOff>
    </xdr:to>
    <xdr:pic>
      <xdr:nvPicPr>
        <xdr:cNvPr id="377961" name="Picture 4" descr="ecblank">
          <a:extLst>
            <a:ext uri="{FF2B5EF4-FFF2-40B4-BE49-F238E27FC236}">
              <a16:creationId xmlns:a16="http://schemas.microsoft.com/office/drawing/2014/main" id="{00000000-0008-0000-0200-000069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1400175"/>
          <a:ext cx="9525" cy="142875"/>
        </a:xfrm>
        <a:prstGeom prst="rect">
          <a:avLst/>
        </a:prstGeom>
        <a:noFill/>
        <a:ln w="9525">
          <a:noFill/>
          <a:miter lim="800000"/>
          <a:headEnd/>
          <a:tailEnd/>
        </a:ln>
      </xdr:spPr>
    </xdr:pic>
    <xdr:clientData/>
  </xdr:twoCellAnchor>
  <xdr:twoCellAnchor editAs="oneCell">
    <xdr:from>
      <xdr:col>16</xdr:col>
      <xdr:colOff>0</xdr:colOff>
      <xdr:row>516</xdr:row>
      <xdr:rowOff>0</xdr:rowOff>
    </xdr:from>
    <xdr:to>
      <xdr:col>16</xdr:col>
      <xdr:colOff>9525</xdr:colOff>
      <xdr:row>553</xdr:row>
      <xdr:rowOff>142875</xdr:rowOff>
    </xdr:to>
    <xdr:pic>
      <xdr:nvPicPr>
        <xdr:cNvPr id="377962" name="Picture 5" descr="ecblank">
          <a:extLst>
            <a:ext uri="{FF2B5EF4-FFF2-40B4-BE49-F238E27FC236}">
              <a16:creationId xmlns:a16="http://schemas.microsoft.com/office/drawing/2014/main" id="{00000000-0008-0000-0200-00006A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3381375"/>
          <a:ext cx="9525" cy="142875"/>
        </a:xfrm>
        <a:prstGeom prst="rect">
          <a:avLst/>
        </a:prstGeom>
        <a:noFill/>
        <a:ln w="9525">
          <a:noFill/>
          <a:miter lim="800000"/>
          <a:headEnd/>
          <a:tailEnd/>
        </a:ln>
      </xdr:spPr>
    </xdr:pic>
    <xdr:clientData/>
  </xdr:twoCellAnchor>
  <xdr:twoCellAnchor editAs="oneCell">
    <xdr:from>
      <xdr:col>16</xdr:col>
      <xdr:colOff>0</xdr:colOff>
      <xdr:row>516</xdr:row>
      <xdr:rowOff>0</xdr:rowOff>
    </xdr:from>
    <xdr:to>
      <xdr:col>16</xdr:col>
      <xdr:colOff>9525</xdr:colOff>
      <xdr:row>553</xdr:row>
      <xdr:rowOff>142875</xdr:rowOff>
    </xdr:to>
    <xdr:pic>
      <xdr:nvPicPr>
        <xdr:cNvPr id="377963" name="Picture 6" descr="ecblank">
          <a:extLst>
            <a:ext uri="{FF2B5EF4-FFF2-40B4-BE49-F238E27FC236}">
              <a16:creationId xmlns:a16="http://schemas.microsoft.com/office/drawing/2014/main" id="{00000000-0008-0000-0200-00006B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3381375"/>
          <a:ext cx="9525" cy="142875"/>
        </a:xfrm>
        <a:prstGeom prst="rect">
          <a:avLst/>
        </a:prstGeom>
        <a:noFill/>
        <a:ln w="9525">
          <a:noFill/>
          <a:miter lim="800000"/>
          <a:headEnd/>
          <a:tailEnd/>
        </a:ln>
      </xdr:spPr>
    </xdr:pic>
    <xdr:clientData/>
  </xdr:twoCellAnchor>
  <xdr:twoCellAnchor editAs="oneCell">
    <xdr:from>
      <xdr:col>16</xdr:col>
      <xdr:colOff>0</xdr:colOff>
      <xdr:row>185</xdr:row>
      <xdr:rowOff>0</xdr:rowOff>
    </xdr:from>
    <xdr:to>
      <xdr:col>16</xdr:col>
      <xdr:colOff>9525</xdr:colOff>
      <xdr:row>195</xdr:row>
      <xdr:rowOff>142875</xdr:rowOff>
    </xdr:to>
    <xdr:pic>
      <xdr:nvPicPr>
        <xdr:cNvPr id="377964" name="Picture 7" descr="ecblank">
          <a:extLst>
            <a:ext uri="{FF2B5EF4-FFF2-40B4-BE49-F238E27FC236}">
              <a16:creationId xmlns:a16="http://schemas.microsoft.com/office/drawing/2014/main" id="{00000000-0008-0000-0200-00006C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1857375"/>
          <a:ext cx="9525" cy="142875"/>
        </a:xfrm>
        <a:prstGeom prst="rect">
          <a:avLst/>
        </a:prstGeom>
        <a:noFill/>
        <a:ln w="9525">
          <a:noFill/>
          <a:miter lim="800000"/>
          <a:headEnd/>
          <a:tailEnd/>
        </a:ln>
      </xdr:spPr>
    </xdr:pic>
    <xdr:clientData/>
  </xdr:twoCellAnchor>
  <xdr:twoCellAnchor editAs="oneCell">
    <xdr:from>
      <xdr:col>16</xdr:col>
      <xdr:colOff>0</xdr:colOff>
      <xdr:row>185</xdr:row>
      <xdr:rowOff>0</xdr:rowOff>
    </xdr:from>
    <xdr:to>
      <xdr:col>16</xdr:col>
      <xdr:colOff>9525</xdr:colOff>
      <xdr:row>195</xdr:row>
      <xdr:rowOff>142875</xdr:rowOff>
    </xdr:to>
    <xdr:pic>
      <xdr:nvPicPr>
        <xdr:cNvPr id="377965" name="Picture 8" descr="ecblank">
          <a:extLst>
            <a:ext uri="{FF2B5EF4-FFF2-40B4-BE49-F238E27FC236}">
              <a16:creationId xmlns:a16="http://schemas.microsoft.com/office/drawing/2014/main" id="{00000000-0008-0000-0200-00006D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1857375"/>
          <a:ext cx="9525" cy="142875"/>
        </a:xfrm>
        <a:prstGeom prst="rect">
          <a:avLst/>
        </a:prstGeom>
        <a:noFill/>
        <a:ln w="9525">
          <a:noFill/>
          <a:miter lim="800000"/>
          <a:headEnd/>
          <a:tailEnd/>
        </a:ln>
      </xdr:spPr>
    </xdr:pic>
    <xdr:clientData/>
  </xdr:twoCellAnchor>
  <xdr:twoCellAnchor editAs="oneCell">
    <xdr:from>
      <xdr:col>16</xdr:col>
      <xdr:colOff>0</xdr:colOff>
      <xdr:row>179</xdr:row>
      <xdr:rowOff>0</xdr:rowOff>
    </xdr:from>
    <xdr:to>
      <xdr:col>16</xdr:col>
      <xdr:colOff>9525</xdr:colOff>
      <xdr:row>195</xdr:row>
      <xdr:rowOff>142875</xdr:rowOff>
    </xdr:to>
    <xdr:pic>
      <xdr:nvPicPr>
        <xdr:cNvPr id="377966" name="Picture 9" descr="ecblank">
          <a:extLst>
            <a:ext uri="{FF2B5EF4-FFF2-40B4-BE49-F238E27FC236}">
              <a16:creationId xmlns:a16="http://schemas.microsoft.com/office/drawing/2014/main" id="{00000000-0008-0000-0200-00006E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1857375"/>
          <a:ext cx="9525" cy="142875"/>
        </a:xfrm>
        <a:prstGeom prst="rect">
          <a:avLst/>
        </a:prstGeom>
        <a:noFill/>
        <a:ln w="9525">
          <a:noFill/>
          <a:miter lim="800000"/>
          <a:headEnd/>
          <a:tailEnd/>
        </a:ln>
      </xdr:spPr>
    </xdr:pic>
    <xdr:clientData/>
  </xdr:twoCellAnchor>
  <xdr:twoCellAnchor editAs="oneCell">
    <xdr:from>
      <xdr:col>16</xdr:col>
      <xdr:colOff>0</xdr:colOff>
      <xdr:row>179</xdr:row>
      <xdr:rowOff>0</xdr:rowOff>
    </xdr:from>
    <xdr:to>
      <xdr:col>16</xdr:col>
      <xdr:colOff>9525</xdr:colOff>
      <xdr:row>195</xdr:row>
      <xdr:rowOff>142875</xdr:rowOff>
    </xdr:to>
    <xdr:pic>
      <xdr:nvPicPr>
        <xdr:cNvPr id="377967" name="Picture 10" descr="ecblank">
          <a:extLst>
            <a:ext uri="{FF2B5EF4-FFF2-40B4-BE49-F238E27FC236}">
              <a16:creationId xmlns:a16="http://schemas.microsoft.com/office/drawing/2014/main" id="{00000000-0008-0000-0200-00006F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1857375"/>
          <a:ext cx="9525" cy="1428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2</xdr:col>
      <xdr:colOff>9525</xdr:colOff>
      <xdr:row>15</xdr:row>
      <xdr:rowOff>152400</xdr:rowOff>
    </xdr:to>
    <xdr:pic>
      <xdr:nvPicPr>
        <xdr:cNvPr id="425024" name="Picture 1" descr="ecblank">
          <a:extLst>
            <a:ext uri="{FF2B5EF4-FFF2-40B4-BE49-F238E27FC236}">
              <a16:creationId xmlns:a16="http://schemas.microsoft.com/office/drawing/2014/main" id="{00000000-0008-0000-0300-00004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25" name="Picture 2" descr="ecblank">
          <a:extLst>
            <a:ext uri="{FF2B5EF4-FFF2-40B4-BE49-F238E27FC236}">
              <a16:creationId xmlns:a16="http://schemas.microsoft.com/office/drawing/2014/main" id="{00000000-0008-0000-0300-00004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26" name="Picture 3" descr="ecblank">
          <a:extLst>
            <a:ext uri="{FF2B5EF4-FFF2-40B4-BE49-F238E27FC236}">
              <a16:creationId xmlns:a16="http://schemas.microsoft.com/office/drawing/2014/main" id="{00000000-0008-0000-0300-00004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27" name="Picture 4" descr="ecblank">
          <a:extLst>
            <a:ext uri="{FF2B5EF4-FFF2-40B4-BE49-F238E27FC236}">
              <a16:creationId xmlns:a16="http://schemas.microsoft.com/office/drawing/2014/main" id="{00000000-0008-0000-0300-00004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28" name="Picture 5" descr="ecblank">
          <a:extLst>
            <a:ext uri="{FF2B5EF4-FFF2-40B4-BE49-F238E27FC236}">
              <a16:creationId xmlns:a16="http://schemas.microsoft.com/office/drawing/2014/main" id="{00000000-0008-0000-0300-00004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29" name="Picture 6" descr="ecblank">
          <a:extLst>
            <a:ext uri="{FF2B5EF4-FFF2-40B4-BE49-F238E27FC236}">
              <a16:creationId xmlns:a16="http://schemas.microsoft.com/office/drawing/2014/main" id="{00000000-0008-0000-0300-00004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0" name="Picture 7" descr="ecblank">
          <a:extLst>
            <a:ext uri="{FF2B5EF4-FFF2-40B4-BE49-F238E27FC236}">
              <a16:creationId xmlns:a16="http://schemas.microsoft.com/office/drawing/2014/main" id="{00000000-0008-0000-0300-00004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1" name="Picture 8" descr="ecblank">
          <a:extLst>
            <a:ext uri="{FF2B5EF4-FFF2-40B4-BE49-F238E27FC236}">
              <a16:creationId xmlns:a16="http://schemas.microsoft.com/office/drawing/2014/main" id="{00000000-0008-0000-0300-00004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2" name="Picture 9" descr="ecblank">
          <a:extLst>
            <a:ext uri="{FF2B5EF4-FFF2-40B4-BE49-F238E27FC236}">
              <a16:creationId xmlns:a16="http://schemas.microsoft.com/office/drawing/2014/main" id="{00000000-0008-0000-0300-00004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3" name="Picture 10" descr="ecblank">
          <a:extLst>
            <a:ext uri="{FF2B5EF4-FFF2-40B4-BE49-F238E27FC236}">
              <a16:creationId xmlns:a16="http://schemas.microsoft.com/office/drawing/2014/main" id="{00000000-0008-0000-0300-00004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4" name="Picture 11" descr="ecblank">
          <a:extLst>
            <a:ext uri="{FF2B5EF4-FFF2-40B4-BE49-F238E27FC236}">
              <a16:creationId xmlns:a16="http://schemas.microsoft.com/office/drawing/2014/main" id="{00000000-0008-0000-0300-00004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5" name="Picture 12" descr="ecblank">
          <a:extLst>
            <a:ext uri="{FF2B5EF4-FFF2-40B4-BE49-F238E27FC236}">
              <a16:creationId xmlns:a16="http://schemas.microsoft.com/office/drawing/2014/main" id="{00000000-0008-0000-0300-00004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36" name="Picture 13" descr="ecblank">
          <a:extLst>
            <a:ext uri="{FF2B5EF4-FFF2-40B4-BE49-F238E27FC236}">
              <a16:creationId xmlns:a16="http://schemas.microsoft.com/office/drawing/2014/main" id="{00000000-0008-0000-0300-00004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37" name="Picture 14" descr="ecblank">
          <a:extLst>
            <a:ext uri="{FF2B5EF4-FFF2-40B4-BE49-F238E27FC236}">
              <a16:creationId xmlns:a16="http://schemas.microsoft.com/office/drawing/2014/main" id="{00000000-0008-0000-0300-00004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38" name="Picture 15" descr="ecblank">
          <a:extLst>
            <a:ext uri="{FF2B5EF4-FFF2-40B4-BE49-F238E27FC236}">
              <a16:creationId xmlns:a16="http://schemas.microsoft.com/office/drawing/2014/main" id="{00000000-0008-0000-0300-00004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39" name="Picture 16" descr="ecblank">
          <a:extLst>
            <a:ext uri="{FF2B5EF4-FFF2-40B4-BE49-F238E27FC236}">
              <a16:creationId xmlns:a16="http://schemas.microsoft.com/office/drawing/2014/main" id="{00000000-0008-0000-0300-00004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0" name="Picture 17" descr="ecblank">
          <a:extLst>
            <a:ext uri="{FF2B5EF4-FFF2-40B4-BE49-F238E27FC236}">
              <a16:creationId xmlns:a16="http://schemas.microsoft.com/office/drawing/2014/main" id="{00000000-0008-0000-0300-00005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1" name="Picture 18" descr="ecblank">
          <a:extLst>
            <a:ext uri="{FF2B5EF4-FFF2-40B4-BE49-F238E27FC236}">
              <a16:creationId xmlns:a16="http://schemas.microsoft.com/office/drawing/2014/main" id="{00000000-0008-0000-0300-00005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2" name="Picture 19" descr="ecblank">
          <a:extLst>
            <a:ext uri="{FF2B5EF4-FFF2-40B4-BE49-F238E27FC236}">
              <a16:creationId xmlns:a16="http://schemas.microsoft.com/office/drawing/2014/main" id="{00000000-0008-0000-0300-00005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3" name="Picture 20" descr="ecblank">
          <a:extLst>
            <a:ext uri="{FF2B5EF4-FFF2-40B4-BE49-F238E27FC236}">
              <a16:creationId xmlns:a16="http://schemas.microsoft.com/office/drawing/2014/main" id="{00000000-0008-0000-0300-00005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4" name="Picture 21" descr="ecblank">
          <a:extLst>
            <a:ext uri="{FF2B5EF4-FFF2-40B4-BE49-F238E27FC236}">
              <a16:creationId xmlns:a16="http://schemas.microsoft.com/office/drawing/2014/main" id="{00000000-0008-0000-0300-00005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5" name="Picture 22" descr="ecblank">
          <a:extLst>
            <a:ext uri="{FF2B5EF4-FFF2-40B4-BE49-F238E27FC236}">
              <a16:creationId xmlns:a16="http://schemas.microsoft.com/office/drawing/2014/main" id="{00000000-0008-0000-0300-00005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6" name="Picture 23" descr="ecblank">
          <a:extLst>
            <a:ext uri="{FF2B5EF4-FFF2-40B4-BE49-F238E27FC236}">
              <a16:creationId xmlns:a16="http://schemas.microsoft.com/office/drawing/2014/main" id="{00000000-0008-0000-0300-00005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7" name="Picture 24" descr="ecblank">
          <a:extLst>
            <a:ext uri="{FF2B5EF4-FFF2-40B4-BE49-F238E27FC236}">
              <a16:creationId xmlns:a16="http://schemas.microsoft.com/office/drawing/2014/main" id="{00000000-0008-0000-0300-00005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48" name="Picture 25" descr="ecblank">
          <a:extLst>
            <a:ext uri="{FF2B5EF4-FFF2-40B4-BE49-F238E27FC236}">
              <a16:creationId xmlns:a16="http://schemas.microsoft.com/office/drawing/2014/main" id="{00000000-0008-0000-0300-00005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49" name="Picture 26" descr="ecblank">
          <a:extLst>
            <a:ext uri="{FF2B5EF4-FFF2-40B4-BE49-F238E27FC236}">
              <a16:creationId xmlns:a16="http://schemas.microsoft.com/office/drawing/2014/main" id="{00000000-0008-0000-0300-00005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0" name="Picture 27" descr="ecblank">
          <a:extLst>
            <a:ext uri="{FF2B5EF4-FFF2-40B4-BE49-F238E27FC236}">
              <a16:creationId xmlns:a16="http://schemas.microsoft.com/office/drawing/2014/main" id="{00000000-0008-0000-0300-00005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1" name="Picture 28" descr="ecblank">
          <a:extLst>
            <a:ext uri="{FF2B5EF4-FFF2-40B4-BE49-F238E27FC236}">
              <a16:creationId xmlns:a16="http://schemas.microsoft.com/office/drawing/2014/main" id="{00000000-0008-0000-0300-00005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2" name="Picture 29" descr="ecblank">
          <a:extLst>
            <a:ext uri="{FF2B5EF4-FFF2-40B4-BE49-F238E27FC236}">
              <a16:creationId xmlns:a16="http://schemas.microsoft.com/office/drawing/2014/main" id="{00000000-0008-0000-0300-00005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3" name="Picture 30" descr="ecblank">
          <a:extLst>
            <a:ext uri="{FF2B5EF4-FFF2-40B4-BE49-F238E27FC236}">
              <a16:creationId xmlns:a16="http://schemas.microsoft.com/office/drawing/2014/main" id="{00000000-0008-0000-0300-00005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4" name="Picture 31" descr="ecblank">
          <a:extLst>
            <a:ext uri="{FF2B5EF4-FFF2-40B4-BE49-F238E27FC236}">
              <a16:creationId xmlns:a16="http://schemas.microsoft.com/office/drawing/2014/main" id="{00000000-0008-0000-0300-00005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5" name="Picture 32" descr="ecblank">
          <a:extLst>
            <a:ext uri="{FF2B5EF4-FFF2-40B4-BE49-F238E27FC236}">
              <a16:creationId xmlns:a16="http://schemas.microsoft.com/office/drawing/2014/main" id="{00000000-0008-0000-0300-00005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6" name="Picture 33" descr="ecblank">
          <a:extLst>
            <a:ext uri="{FF2B5EF4-FFF2-40B4-BE49-F238E27FC236}">
              <a16:creationId xmlns:a16="http://schemas.microsoft.com/office/drawing/2014/main" id="{00000000-0008-0000-0300-00006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7" name="Picture 34" descr="ecblank">
          <a:extLst>
            <a:ext uri="{FF2B5EF4-FFF2-40B4-BE49-F238E27FC236}">
              <a16:creationId xmlns:a16="http://schemas.microsoft.com/office/drawing/2014/main" id="{00000000-0008-0000-0300-00006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8" name="Picture 35" descr="ecblank">
          <a:extLst>
            <a:ext uri="{FF2B5EF4-FFF2-40B4-BE49-F238E27FC236}">
              <a16:creationId xmlns:a16="http://schemas.microsoft.com/office/drawing/2014/main" id="{00000000-0008-0000-0300-00006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9" name="Picture 36" descr="ecblank">
          <a:extLst>
            <a:ext uri="{FF2B5EF4-FFF2-40B4-BE49-F238E27FC236}">
              <a16:creationId xmlns:a16="http://schemas.microsoft.com/office/drawing/2014/main" id="{00000000-0008-0000-0300-00006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0" name="Picture 37" descr="ecblank">
          <a:extLst>
            <a:ext uri="{FF2B5EF4-FFF2-40B4-BE49-F238E27FC236}">
              <a16:creationId xmlns:a16="http://schemas.microsoft.com/office/drawing/2014/main" id="{00000000-0008-0000-0300-00006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1" name="Picture 38" descr="ecblank">
          <a:extLst>
            <a:ext uri="{FF2B5EF4-FFF2-40B4-BE49-F238E27FC236}">
              <a16:creationId xmlns:a16="http://schemas.microsoft.com/office/drawing/2014/main" id="{00000000-0008-0000-0300-00006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2" name="Picture 39" descr="ecblank">
          <a:extLst>
            <a:ext uri="{FF2B5EF4-FFF2-40B4-BE49-F238E27FC236}">
              <a16:creationId xmlns:a16="http://schemas.microsoft.com/office/drawing/2014/main" id="{00000000-0008-0000-0300-00006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3" name="Picture 40" descr="ecblank">
          <a:extLst>
            <a:ext uri="{FF2B5EF4-FFF2-40B4-BE49-F238E27FC236}">
              <a16:creationId xmlns:a16="http://schemas.microsoft.com/office/drawing/2014/main" id="{00000000-0008-0000-0300-00006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4" name="Picture 41" descr="ecblank">
          <a:extLst>
            <a:ext uri="{FF2B5EF4-FFF2-40B4-BE49-F238E27FC236}">
              <a16:creationId xmlns:a16="http://schemas.microsoft.com/office/drawing/2014/main" id="{00000000-0008-0000-0300-00006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5" name="Picture 42" descr="ecblank">
          <a:extLst>
            <a:ext uri="{FF2B5EF4-FFF2-40B4-BE49-F238E27FC236}">
              <a16:creationId xmlns:a16="http://schemas.microsoft.com/office/drawing/2014/main" id="{00000000-0008-0000-0300-00006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6" name="Picture 43" descr="ecblank">
          <a:extLst>
            <a:ext uri="{FF2B5EF4-FFF2-40B4-BE49-F238E27FC236}">
              <a16:creationId xmlns:a16="http://schemas.microsoft.com/office/drawing/2014/main" id="{00000000-0008-0000-0300-00006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7" name="Picture 44" descr="ecblank">
          <a:extLst>
            <a:ext uri="{FF2B5EF4-FFF2-40B4-BE49-F238E27FC236}">
              <a16:creationId xmlns:a16="http://schemas.microsoft.com/office/drawing/2014/main" id="{00000000-0008-0000-0300-00006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8" name="Picture 45" descr="ecblank">
          <a:extLst>
            <a:ext uri="{FF2B5EF4-FFF2-40B4-BE49-F238E27FC236}">
              <a16:creationId xmlns:a16="http://schemas.microsoft.com/office/drawing/2014/main" id="{00000000-0008-0000-0300-00006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9" name="Picture 46" descr="ecblank">
          <a:extLst>
            <a:ext uri="{FF2B5EF4-FFF2-40B4-BE49-F238E27FC236}">
              <a16:creationId xmlns:a16="http://schemas.microsoft.com/office/drawing/2014/main" id="{00000000-0008-0000-0300-00006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70" name="Picture 47" descr="ecblank">
          <a:extLst>
            <a:ext uri="{FF2B5EF4-FFF2-40B4-BE49-F238E27FC236}">
              <a16:creationId xmlns:a16="http://schemas.microsoft.com/office/drawing/2014/main" id="{00000000-0008-0000-0300-00006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71" name="Picture 48" descr="ecblank">
          <a:extLst>
            <a:ext uri="{FF2B5EF4-FFF2-40B4-BE49-F238E27FC236}">
              <a16:creationId xmlns:a16="http://schemas.microsoft.com/office/drawing/2014/main" id="{00000000-0008-0000-0300-00006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2" name="Picture 49" descr="ecblank">
          <a:extLst>
            <a:ext uri="{FF2B5EF4-FFF2-40B4-BE49-F238E27FC236}">
              <a16:creationId xmlns:a16="http://schemas.microsoft.com/office/drawing/2014/main" id="{00000000-0008-0000-0300-00007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3" name="Picture 50" descr="ecblank">
          <a:extLst>
            <a:ext uri="{FF2B5EF4-FFF2-40B4-BE49-F238E27FC236}">
              <a16:creationId xmlns:a16="http://schemas.microsoft.com/office/drawing/2014/main" id="{00000000-0008-0000-0300-00007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4" name="Picture 51" descr="ecblank">
          <a:extLst>
            <a:ext uri="{FF2B5EF4-FFF2-40B4-BE49-F238E27FC236}">
              <a16:creationId xmlns:a16="http://schemas.microsoft.com/office/drawing/2014/main" id="{00000000-0008-0000-0300-00007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5" name="Picture 52" descr="ecblank">
          <a:extLst>
            <a:ext uri="{FF2B5EF4-FFF2-40B4-BE49-F238E27FC236}">
              <a16:creationId xmlns:a16="http://schemas.microsoft.com/office/drawing/2014/main" id="{00000000-0008-0000-0300-00007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6" name="Picture 53" descr="ecblank">
          <a:extLst>
            <a:ext uri="{FF2B5EF4-FFF2-40B4-BE49-F238E27FC236}">
              <a16:creationId xmlns:a16="http://schemas.microsoft.com/office/drawing/2014/main" id="{00000000-0008-0000-0300-00007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7" name="Picture 54" descr="ecblank">
          <a:extLst>
            <a:ext uri="{FF2B5EF4-FFF2-40B4-BE49-F238E27FC236}">
              <a16:creationId xmlns:a16="http://schemas.microsoft.com/office/drawing/2014/main" id="{00000000-0008-0000-0300-00007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8" name="Picture 55" descr="ecblank">
          <a:extLst>
            <a:ext uri="{FF2B5EF4-FFF2-40B4-BE49-F238E27FC236}">
              <a16:creationId xmlns:a16="http://schemas.microsoft.com/office/drawing/2014/main" id="{00000000-0008-0000-0300-00007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9" name="Picture 56" descr="ecblank">
          <a:extLst>
            <a:ext uri="{FF2B5EF4-FFF2-40B4-BE49-F238E27FC236}">
              <a16:creationId xmlns:a16="http://schemas.microsoft.com/office/drawing/2014/main" id="{00000000-0008-0000-0300-00007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80" name="Picture 57" descr="ecblank">
          <a:extLst>
            <a:ext uri="{FF2B5EF4-FFF2-40B4-BE49-F238E27FC236}">
              <a16:creationId xmlns:a16="http://schemas.microsoft.com/office/drawing/2014/main" id="{00000000-0008-0000-0300-00007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81" name="Picture 58" descr="ecblank">
          <a:extLst>
            <a:ext uri="{FF2B5EF4-FFF2-40B4-BE49-F238E27FC236}">
              <a16:creationId xmlns:a16="http://schemas.microsoft.com/office/drawing/2014/main" id="{00000000-0008-0000-0300-00007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82" name="Picture 59" descr="ecblank">
          <a:extLst>
            <a:ext uri="{FF2B5EF4-FFF2-40B4-BE49-F238E27FC236}">
              <a16:creationId xmlns:a16="http://schemas.microsoft.com/office/drawing/2014/main" id="{00000000-0008-0000-0300-00007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83" name="Picture 60" descr="ecblank">
          <a:extLst>
            <a:ext uri="{FF2B5EF4-FFF2-40B4-BE49-F238E27FC236}">
              <a16:creationId xmlns:a16="http://schemas.microsoft.com/office/drawing/2014/main" id="{00000000-0008-0000-0300-00007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4" name="Picture 61" descr="ecblank">
          <a:extLst>
            <a:ext uri="{FF2B5EF4-FFF2-40B4-BE49-F238E27FC236}">
              <a16:creationId xmlns:a16="http://schemas.microsoft.com/office/drawing/2014/main" id="{00000000-0008-0000-0300-00007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5" name="Picture 62" descr="ecblank">
          <a:extLst>
            <a:ext uri="{FF2B5EF4-FFF2-40B4-BE49-F238E27FC236}">
              <a16:creationId xmlns:a16="http://schemas.microsoft.com/office/drawing/2014/main" id="{00000000-0008-0000-0300-00007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6" name="Picture 63" descr="ecblank">
          <a:extLst>
            <a:ext uri="{FF2B5EF4-FFF2-40B4-BE49-F238E27FC236}">
              <a16:creationId xmlns:a16="http://schemas.microsoft.com/office/drawing/2014/main" id="{00000000-0008-0000-0300-00007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7" name="Picture 64" descr="ecblank">
          <a:extLst>
            <a:ext uri="{FF2B5EF4-FFF2-40B4-BE49-F238E27FC236}">
              <a16:creationId xmlns:a16="http://schemas.microsoft.com/office/drawing/2014/main" id="{00000000-0008-0000-0300-00007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8" name="Picture 65" descr="ecblank">
          <a:extLst>
            <a:ext uri="{FF2B5EF4-FFF2-40B4-BE49-F238E27FC236}">
              <a16:creationId xmlns:a16="http://schemas.microsoft.com/office/drawing/2014/main" id="{00000000-0008-0000-0300-00008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9" name="Picture 66" descr="ecblank">
          <a:extLst>
            <a:ext uri="{FF2B5EF4-FFF2-40B4-BE49-F238E27FC236}">
              <a16:creationId xmlns:a16="http://schemas.microsoft.com/office/drawing/2014/main" id="{00000000-0008-0000-0300-00008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0" name="Picture 67" descr="ecblank">
          <a:extLst>
            <a:ext uri="{FF2B5EF4-FFF2-40B4-BE49-F238E27FC236}">
              <a16:creationId xmlns:a16="http://schemas.microsoft.com/office/drawing/2014/main" id="{00000000-0008-0000-0300-00008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1" name="Picture 68" descr="ecblank">
          <a:extLst>
            <a:ext uri="{FF2B5EF4-FFF2-40B4-BE49-F238E27FC236}">
              <a16:creationId xmlns:a16="http://schemas.microsoft.com/office/drawing/2014/main" id="{00000000-0008-0000-0300-00008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2" name="Picture 69" descr="ecblank">
          <a:extLst>
            <a:ext uri="{FF2B5EF4-FFF2-40B4-BE49-F238E27FC236}">
              <a16:creationId xmlns:a16="http://schemas.microsoft.com/office/drawing/2014/main" id="{00000000-0008-0000-0300-00008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3" name="Picture 70" descr="ecblank">
          <a:extLst>
            <a:ext uri="{FF2B5EF4-FFF2-40B4-BE49-F238E27FC236}">
              <a16:creationId xmlns:a16="http://schemas.microsoft.com/office/drawing/2014/main" id="{00000000-0008-0000-0300-00008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4" name="Picture 71" descr="ecblank">
          <a:extLst>
            <a:ext uri="{FF2B5EF4-FFF2-40B4-BE49-F238E27FC236}">
              <a16:creationId xmlns:a16="http://schemas.microsoft.com/office/drawing/2014/main" id="{00000000-0008-0000-0300-00008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5" name="Picture 72" descr="ecblank">
          <a:extLst>
            <a:ext uri="{FF2B5EF4-FFF2-40B4-BE49-F238E27FC236}">
              <a16:creationId xmlns:a16="http://schemas.microsoft.com/office/drawing/2014/main" id="{00000000-0008-0000-0300-00008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096" name="Picture 73" descr="ecblank">
          <a:extLst>
            <a:ext uri="{FF2B5EF4-FFF2-40B4-BE49-F238E27FC236}">
              <a16:creationId xmlns:a16="http://schemas.microsoft.com/office/drawing/2014/main" id="{00000000-0008-0000-0300-00008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097" name="Picture 74" descr="ecblank">
          <a:extLst>
            <a:ext uri="{FF2B5EF4-FFF2-40B4-BE49-F238E27FC236}">
              <a16:creationId xmlns:a16="http://schemas.microsoft.com/office/drawing/2014/main" id="{00000000-0008-0000-0300-00008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098" name="Picture 75" descr="ecblank">
          <a:extLst>
            <a:ext uri="{FF2B5EF4-FFF2-40B4-BE49-F238E27FC236}">
              <a16:creationId xmlns:a16="http://schemas.microsoft.com/office/drawing/2014/main" id="{00000000-0008-0000-0300-00008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099" name="Picture 76" descr="ecblank">
          <a:extLst>
            <a:ext uri="{FF2B5EF4-FFF2-40B4-BE49-F238E27FC236}">
              <a16:creationId xmlns:a16="http://schemas.microsoft.com/office/drawing/2014/main" id="{00000000-0008-0000-0300-00008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0" name="Picture 77" descr="ecblank">
          <a:extLst>
            <a:ext uri="{FF2B5EF4-FFF2-40B4-BE49-F238E27FC236}">
              <a16:creationId xmlns:a16="http://schemas.microsoft.com/office/drawing/2014/main" id="{00000000-0008-0000-0300-00008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1" name="Picture 78" descr="ecblank">
          <a:extLst>
            <a:ext uri="{FF2B5EF4-FFF2-40B4-BE49-F238E27FC236}">
              <a16:creationId xmlns:a16="http://schemas.microsoft.com/office/drawing/2014/main" id="{00000000-0008-0000-0300-00008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2" name="Picture 79" descr="ecblank">
          <a:extLst>
            <a:ext uri="{FF2B5EF4-FFF2-40B4-BE49-F238E27FC236}">
              <a16:creationId xmlns:a16="http://schemas.microsoft.com/office/drawing/2014/main" id="{00000000-0008-0000-0300-00008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3" name="Picture 80" descr="ecblank">
          <a:extLst>
            <a:ext uri="{FF2B5EF4-FFF2-40B4-BE49-F238E27FC236}">
              <a16:creationId xmlns:a16="http://schemas.microsoft.com/office/drawing/2014/main" id="{00000000-0008-0000-0300-00008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4" name="Picture 81" descr="ecblank">
          <a:extLst>
            <a:ext uri="{FF2B5EF4-FFF2-40B4-BE49-F238E27FC236}">
              <a16:creationId xmlns:a16="http://schemas.microsoft.com/office/drawing/2014/main" id="{00000000-0008-0000-0300-00009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5" name="Picture 82" descr="ecblank">
          <a:extLst>
            <a:ext uri="{FF2B5EF4-FFF2-40B4-BE49-F238E27FC236}">
              <a16:creationId xmlns:a16="http://schemas.microsoft.com/office/drawing/2014/main" id="{00000000-0008-0000-0300-00009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6" name="Picture 83" descr="ecblank">
          <a:extLst>
            <a:ext uri="{FF2B5EF4-FFF2-40B4-BE49-F238E27FC236}">
              <a16:creationId xmlns:a16="http://schemas.microsoft.com/office/drawing/2014/main" id="{00000000-0008-0000-0300-00009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7" name="Picture 84" descr="ecblank">
          <a:extLst>
            <a:ext uri="{FF2B5EF4-FFF2-40B4-BE49-F238E27FC236}">
              <a16:creationId xmlns:a16="http://schemas.microsoft.com/office/drawing/2014/main" id="{00000000-0008-0000-0300-00009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08" name="Picture 1" descr="http://www.vcgr.vic.gov.au/icons/ecblank.gif">
          <a:extLst>
            <a:ext uri="{FF2B5EF4-FFF2-40B4-BE49-F238E27FC236}">
              <a16:creationId xmlns:a16="http://schemas.microsoft.com/office/drawing/2014/main" id="{00000000-0008-0000-0300-00009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09" name="Picture 2" descr="http://www.vcgr.vic.gov.au/icons/ecblank.gif">
          <a:extLst>
            <a:ext uri="{FF2B5EF4-FFF2-40B4-BE49-F238E27FC236}">
              <a16:creationId xmlns:a16="http://schemas.microsoft.com/office/drawing/2014/main" id="{00000000-0008-0000-0300-00009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0" name="Picture 3" descr="http://www.vcgr.vic.gov.au/icons/ecblank.gif">
          <a:extLst>
            <a:ext uri="{FF2B5EF4-FFF2-40B4-BE49-F238E27FC236}">
              <a16:creationId xmlns:a16="http://schemas.microsoft.com/office/drawing/2014/main" id="{00000000-0008-0000-0300-00009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1" name="Picture 4" descr="http://www.vcgr.vic.gov.au/icons/ecblank.gif">
          <a:extLst>
            <a:ext uri="{FF2B5EF4-FFF2-40B4-BE49-F238E27FC236}">
              <a16:creationId xmlns:a16="http://schemas.microsoft.com/office/drawing/2014/main" id="{00000000-0008-0000-0300-00009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2" name="Picture 5" descr="http://www.vcgr.vic.gov.au/icons/ecblank.gif">
          <a:extLst>
            <a:ext uri="{FF2B5EF4-FFF2-40B4-BE49-F238E27FC236}">
              <a16:creationId xmlns:a16="http://schemas.microsoft.com/office/drawing/2014/main" id="{00000000-0008-0000-0300-00009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3" name="Picture 6" descr="http://www.vcgr.vic.gov.au/icons/ecblank.gif">
          <a:extLst>
            <a:ext uri="{FF2B5EF4-FFF2-40B4-BE49-F238E27FC236}">
              <a16:creationId xmlns:a16="http://schemas.microsoft.com/office/drawing/2014/main" id="{00000000-0008-0000-0300-00009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4" name="Picture 7" descr="http://www.vcgr.vic.gov.au/icons/ecblank.gif">
          <a:extLst>
            <a:ext uri="{FF2B5EF4-FFF2-40B4-BE49-F238E27FC236}">
              <a16:creationId xmlns:a16="http://schemas.microsoft.com/office/drawing/2014/main" id="{00000000-0008-0000-0300-00009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5" name="Picture 8" descr="http://www.vcgr.vic.gov.au/icons/ecblank.gif">
          <a:extLst>
            <a:ext uri="{FF2B5EF4-FFF2-40B4-BE49-F238E27FC236}">
              <a16:creationId xmlns:a16="http://schemas.microsoft.com/office/drawing/2014/main" id="{00000000-0008-0000-0300-00009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6" name="Picture 9" descr="http://www.vcgr.vic.gov.au/icons/ecblank.gif">
          <a:extLst>
            <a:ext uri="{FF2B5EF4-FFF2-40B4-BE49-F238E27FC236}">
              <a16:creationId xmlns:a16="http://schemas.microsoft.com/office/drawing/2014/main" id="{00000000-0008-0000-0300-00009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7" name="Picture 10" descr="http://www.vcgr.vic.gov.au/icons/ecblank.gif">
          <a:extLst>
            <a:ext uri="{FF2B5EF4-FFF2-40B4-BE49-F238E27FC236}">
              <a16:creationId xmlns:a16="http://schemas.microsoft.com/office/drawing/2014/main" id="{00000000-0008-0000-0300-00009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8" name="Picture 11" descr="http://www.vcgr.vic.gov.au/icons/ecblank.gif">
          <a:extLst>
            <a:ext uri="{FF2B5EF4-FFF2-40B4-BE49-F238E27FC236}">
              <a16:creationId xmlns:a16="http://schemas.microsoft.com/office/drawing/2014/main" id="{00000000-0008-0000-0300-00009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9" name="Picture 12" descr="http://www.vcgr.vic.gov.au/icons/ecblank.gif">
          <a:extLst>
            <a:ext uri="{FF2B5EF4-FFF2-40B4-BE49-F238E27FC236}">
              <a16:creationId xmlns:a16="http://schemas.microsoft.com/office/drawing/2014/main" id="{00000000-0008-0000-0300-00009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0" name="Picture 13" descr="http://www.vcgr.vic.gov.au/icons/ecblank.gif">
          <a:extLst>
            <a:ext uri="{FF2B5EF4-FFF2-40B4-BE49-F238E27FC236}">
              <a16:creationId xmlns:a16="http://schemas.microsoft.com/office/drawing/2014/main" id="{00000000-0008-0000-0300-0000A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1" name="Picture 14" descr="http://www.vcgr.vic.gov.au/icons/ecblank.gif">
          <a:extLst>
            <a:ext uri="{FF2B5EF4-FFF2-40B4-BE49-F238E27FC236}">
              <a16:creationId xmlns:a16="http://schemas.microsoft.com/office/drawing/2014/main" id="{00000000-0008-0000-0300-0000A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2" name="Picture 15" descr="http://www.vcgr.vic.gov.au/icons/ecblank.gif">
          <a:extLst>
            <a:ext uri="{FF2B5EF4-FFF2-40B4-BE49-F238E27FC236}">
              <a16:creationId xmlns:a16="http://schemas.microsoft.com/office/drawing/2014/main" id="{00000000-0008-0000-0300-0000A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3" name="Picture 16" descr="http://www.vcgr.vic.gov.au/icons/ecblank.gif">
          <a:extLst>
            <a:ext uri="{FF2B5EF4-FFF2-40B4-BE49-F238E27FC236}">
              <a16:creationId xmlns:a16="http://schemas.microsoft.com/office/drawing/2014/main" id="{00000000-0008-0000-0300-0000A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4" name="Picture 17" descr="http://www.vcgr.vic.gov.au/icons/ecblank.gif">
          <a:extLst>
            <a:ext uri="{FF2B5EF4-FFF2-40B4-BE49-F238E27FC236}">
              <a16:creationId xmlns:a16="http://schemas.microsoft.com/office/drawing/2014/main" id="{00000000-0008-0000-0300-0000A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5" name="Picture 18" descr="http://www.vcgr.vic.gov.au/icons/ecblank.gif">
          <a:extLst>
            <a:ext uri="{FF2B5EF4-FFF2-40B4-BE49-F238E27FC236}">
              <a16:creationId xmlns:a16="http://schemas.microsoft.com/office/drawing/2014/main" id="{00000000-0008-0000-0300-0000A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6" name="Picture 19" descr="http://www.vcgr.vic.gov.au/icons/ecblank.gif">
          <a:extLst>
            <a:ext uri="{FF2B5EF4-FFF2-40B4-BE49-F238E27FC236}">
              <a16:creationId xmlns:a16="http://schemas.microsoft.com/office/drawing/2014/main" id="{00000000-0008-0000-0300-0000A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7" name="Picture 20" descr="http://www.vcgr.vic.gov.au/icons/ecblank.gif">
          <a:extLst>
            <a:ext uri="{FF2B5EF4-FFF2-40B4-BE49-F238E27FC236}">
              <a16:creationId xmlns:a16="http://schemas.microsoft.com/office/drawing/2014/main" id="{00000000-0008-0000-0300-0000A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8" name="Picture 21" descr="http://www.vcgr.vic.gov.au/icons/ecblank.gif">
          <a:extLst>
            <a:ext uri="{FF2B5EF4-FFF2-40B4-BE49-F238E27FC236}">
              <a16:creationId xmlns:a16="http://schemas.microsoft.com/office/drawing/2014/main" id="{00000000-0008-0000-0300-0000A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9" name="Picture 22" descr="http://www.vcgr.vic.gov.au/icons/ecblank.gif">
          <a:extLst>
            <a:ext uri="{FF2B5EF4-FFF2-40B4-BE49-F238E27FC236}">
              <a16:creationId xmlns:a16="http://schemas.microsoft.com/office/drawing/2014/main" id="{00000000-0008-0000-0300-0000A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30" name="Picture 23" descr="http://www.vcgr.vic.gov.au/icons/ecblank.gif">
          <a:extLst>
            <a:ext uri="{FF2B5EF4-FFF2-40B4-BE49-F238E27FC236}">
              <a16:creationId xmlns:a16="http://schemas.microsoft.com/office/drawing/2014/main" id="{00000000-0008-0000-0300-0000A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31" name="Picture 24" descr="http://www.vcgr.vic.gov.au/icons/ecblank.gif">
          <a:extLst>
            <a:ext uri="{FF2B5EF4-FFF2-40B4-BE49-F238E27FC236}">
              <a16:creationId xmlns:a16="http://schemas.microsoft.com/office/drawing/2014/main" id="{00000000-0008-0000-0300-0000A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2" name="Picture 25" descr="http://www.vcgr.vic.gov.au/icons/ecblank.gif">
          <a:extLst>
            <a:ext uri="{FF2B5EF4-FFF2-40B4-BE49-F238E27FC236}">
              <a16:creationId xmlns:a16="http://schemas.microsoft.com/office/drawing/2014/main" id="{00000000-0008-0000-0300-0000A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3" name="Picture 26" descr="http://www.vcgr.vic.gov.au/icons/ecblank.gif">
          <a:extLst>
            <a:ext uri="{FF2B5EF4-FFF2-40B4-BE49-F238E27FC236}">
              <a16:creationId xmlns:a16="http://schemas.microsoft.com/office/drawing/2014/main" id="{00000000-0008-0000-0300-0000A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4" name="Picture 27" descr="http://www.vcgr.vic.gov.au/icons/ecblank.gif">
          <a:extLst>
            <a:ext uri="{FF2B5EF4-FFF2-40B4-BE49-F238E27FC236}">
              <a16:creationId xmlns:a16="http://schemas.microsoft.com/office/drawing/2014/main" id="{00000000-0008-0000-0300-0000A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5" name="Picture 28" descr="http://www.vcgr.vic.gov.au/icons/ecblank.gif">
          <a:extLst>
            <a:ext uri="{FF2B5EF4-FFF2-40B4-BE49-F238E27FC236}">
              <a16:creationId xmlns:a16="http://schemas.microsoft.com/office/drawing/2014/main" id="{00000000-0008-0000-0300-0000A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6" name="Picture 29" descr="http://www.vcgr.vic.gov.au/icons/ecblank.gif">
          <a:extLst>
            <a:ext uri="{FF2B5EF4-FFF2-40B4-BE49-F238E27FC236}">
              <a16:creationId xmlns:a16="http://schemas.microsoft.com/office/drawing/2014/main" id="{00000000-0008-0000-0300-0000B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7" name="Picture 30" descr="http://www.vcgr.vic.gov.au/icons/ecblank.gif">
          <a:extLst>
            <a:ext uri="{FF2B5EF4-FFF2-40B4-BE49-F238E27FC236}">
              <a16:creationId xmlns:a16="http://schemas.microsoft.com/office/drawing/2014/main" id="{00000000-0008-0000-0300-0000B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8" name="Picture 31" descr="http://www.vcgr.vic.gov.au/icons/ecblank.gif">
          <a:extLst>
            <a:ext uri="{FF2B5EF4-FFF2-40B4-BE49-F238E27FC236}">
              <a16:creationId xmlns:a16="http://schemas.microsoft.com/office/drawing/2014/main" id="{00000000-0008-0000-0300-0000B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9" name="Picture 32" descr="http://www.vcgr.vic.gov.au/icons/ecblank.gif">
          <a:extLst>
            <a:ext uri="{FF2B5EF4-FFF2-40B4-BE49-F238E27FC236}">
              <a16:creationId xmlns:a16="http://schemas.microsoft.com/office/drawing/2014/main" id="{00000000-0008-0000-0300-0000B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40" name="Picture 33" descr="http://www.vcgr.vic.gov.au/icons/ecblank.gif">
          <a:extLst>
            <a:ext uri="{FF2B5EF4-FFF2-40B4-BE49-F238E27FC236}">
              <a16:creationId xmlns:a16="http://schemas.microsoft.com/office/drawing/2014/main" id="{00000000-0008-0000-0300-0000B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41" name="Picture 34" descr="http://www.vcgr.vic.gov.au/icons/ecblank.gif">
          <a:extLst>
            <a:ext uri="{FF2B5EF4-FFF2-40B4-BE49-F238E27FC236}">
              <a16:creationId xmlns:a16="http://schemas.microsoft.com/office/drawing/2014/main" id="{00000000-0008-0000-0300-0000B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42" name="Picture 35" descr="http://www.vcgr.vic.gov.au/icons/ecblank.gif">
          <a:extLst>
            <a:ext uri="{FF2B5EF4-FFF2-40B4-BE49-F238E27FC236}">
              <a16:creationId xmlns:a16="http://schemas.microsoft.com/office/drawing/2014/main" id="{00000000-0008-0000-0300-0000B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43" name="Picture 36" descr="http://www.vcgr.vic.gov.au/icons/ecblank.gif">
          <a:extLst>
            <a:ext uri="{FF2B5EF4-FFF2-40B4-BE49-F238E27FC236}">
              <a16:creationId xmlns:a16="http://schemas.microsoft.com/office/drawing/2014/main" id="{00000000-0008-0000-0300-0000B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4" name="Picture 37" descr="http://www.vcgr.vic.gov.au/icons/ecblank.gif">
          <a:extLst>
            <a:ext uri="{FF2B5EF4-FFF2-40B4-BE49-F238E27FC236}">
              <a16:creationId xmlns:a16="http://schemas.microsoft.com/office/drawing/2014/main" id="{00000000-0008-0000-0300-0000B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5" name="Picture 38" descr="http://www.vcgr.vic.gov.au/icons/ecblank.gif">
          <a:extLst>
            <a:ext uri="{FF2B5EF4-FFF2-40B4-BE49-F238E27FC236}">
              <a16:creationId xmlns:a16="http://schemas.microsoft.com/office/drawing/2014/main" id="{00000000-0008-0000-0300-0000B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6" name="Picture 39" descr="http://www.vcgr.vic.gov.au/icons/ecblank.gif">
          <a:extLst>
            <a:ext uri="{FF2B5EF4-FFF2-40B4-BE49-F238E27FC236}">
              <a16:creationId xmlns:a16="http://schemas.microsoft.com/office/drawing/2014/main" id="{00000000-0008-0000-0300-0000B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7" name="Picture 40" descr="http://www.vcgr.vic.gov.au/icons/ecblank.gif">
          <a:extLst>
            <a:ext uri="{FF2B5EF4-FFF2-40B4-BE49-F238E27FC236}">
              <a16:creationId xmlns:a16="http://schemas.microsoft.com/office/drawing/2014/main" id="{00000000-0008-0000-0300-0000B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8" name="Picture 41" descr="http://www.vcgr.vic.gov.au/icons/ecblank.gif">
          <a:extLst>
            <a:ext uri="{FF2B5EF4-FFF2-40B4-BE49-F238E27FC236}">
              <a16:creationId xmlns:a16="http://schemas.microsoft.com/office/drawing/2014/main" id="{00000000-0008-0000-0300-0000B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9" name="Picture 42" descr="http://www.vcgr.vic.gov.au/icons/ecblank.gif">
          <a:extLst>
            <a:ext uri="{FF2B5EF4-FFF2-40B4-BE49-F238E27FC236}">
              <a16:creationId xmlns:a16="http://schemas.microsoft.com/office/drawing/2014/main" id="{00000000-0008-0000-0300-0000B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0" name="Picture 43" descr="http://www.vcgr.vic.gov.au/icons/ecblank.gif">
          <a:extLst>
            <a:ext uri="{FF2B5EF4-FFF2-40B4-BE49-F238E27FC236}">
              <a16:creationId xmlns:a16="http://schemas.microsoft.com/office/drawing/2014/main" id="{00000000-0008-0000-0300-0000B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1" name="Picture 44" descr="http://www.vcgr.vic.gov.au/icons/ecblank.gif">
          <a:extLst>
            <a:ext uri="{FF2B5EF4-FFF2-40B4-BE49-F238E27FC236}">
              <a16:creationId xmlns:a16="http://schemas.microsoft.com/office/drawing/2014/main" id="{00000000-0008-0000-0300-0000B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2" name="Picture 45" descr="http://www.vcgr.vic.gov.au/icons/ecblank.gif">
          <a:extLst>
            <a:ext uri="{FF2B5EF4-FFF2-40B4-BE49-F238E27FC236}">
              <a16:creationId xmlns:a16="http://schemas.microsoft.com/office/drawing/2014/main" id="{00000000-0008-0000-0300-0000C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3" name="Picture 46" descr="http://www.vcgr.vic.gov.au/icons/ecblank.gif">
          <a:extLst>
            <a:ext uri="{FF2B5EF4-FFF2-40B4-BE49-F238E27FC236}">
              <a16:creationId xmlns:a16="http://schemas.microsoft.com/office/drawing/2014/main" id="{00000000-0008-0000-0300-0000C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4" name="Picture 47" descr="http://www.vcgr.vic.gov.au/icons/ecblank.gif">
          <a:extLst>
            <a:ext uri="{FF2B5EF4-FFF2-40B4-BE49-F238E27FC236}">
              <a16:creationId xmlns:a16="http://schemas.microsoft.com/office/drawing/2014/main" id="{00000000-0008-0000-0300-0000C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5" name="Picture 48" descr="http://www.vcgr.vic.gov.au/icons/ecblank.gif">
          <a:extLst>
            <a:ext uri="{FF2B5EF4-FFF2-40B4-BE49-F238E27FC236}">
              <a16:creationId xmlns:a16="http://schemas.microsoft.com/office/drawing/2014/main" id="{00000000-0008-0000-0300-0000C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56" name="Picture 49" descr="http://www.vcgr.vic.gov.au/icons/ecblank.gif">
          <a:extLst>
            <a:ext uri="{FF2B5EF4-FFF2-40B4-BE49-F238E27FC236}">
              <a16:creationId xmlns:a16="http://schemas.microsoft.com/office/drawing/2014/main" id="{00000000-0008-0000-0300-0000C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57" name="Picture 50" descr="http://www.vcgr.vic.gov.au/icons/ecblank.gif">
          <a:extLst>
            <a:ext uri="{FF2B5EF4-FFF2-40B4-BE49-F238E27FC236}">
              <a16:creationId xmlns:a16="http://schemas.microsoft.com/office/drawing/2014/main" id="{00000000-0008-0000-0300-0000C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58" name="Picture 51" descr="http://www.vcgr.vic.gov.au/icons/ecblank.gif">
          <a:extLst>
            <a:ext uri="{FF2B5EF4-FFF2-40B4-BE49-F238E27FC236}">
              <a16:creationId xmlns:a16="http://schemas.microsoft.com/office/drawing/2014/main" id="{00000000-0008-0000-0300-0000C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59" name="Picture 52" descr="http://www.vcgr.vic.gov.au/icons/ecblank.gif">
          <a:extLst>
            <a:ext uri="{FF2B5EF4-FFF2-40B4-BE49-F238E27FC236}">
              <a16:creationId xmlns:a16="http://schemas.microsoft.com/office/drawing/2014/main" id="{00000000-0008-0000-0300-0000C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0" name="Picture 53" descr="http://www.vcgr.vic.gov.au/icons/ecblank.gif">
          <a:extLst>
            <a:ext uri="{FF2B5EF4-FFF2-40B4-BE49-F238E27FC236}">
              <a16:creationId xmlns:a16="http://schemas.microsoft.com/office/drawing/2014/main" id="{00000000-0008-0000-0300-0000C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1" name="Picture 54" descr="http://www.vcgr.vic.gov.au/icons/ecblank.gif">
          <a:extLst>
            <a:ext uri="{FF2B5EF4-FFF2-40B4-BE49-F238E27FC236}">
              <a16:creationId xmlns:a16="http://schemas.microsoft.com/office/drawing/2014/main" id="{00000000-0008-0000-0300-0000C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2" name="Picture 55" descr="http://www.vcgr.vic.gov.au/icons/ecblank.gif">
          <a:extLst>
            <a:ext uri="{FF2B5EF4-FFF2-40B4-BE49-F238E27FC236}">
              <a16:creationId xmlns:a16="http://schemas.microsoft.com/office/drawing/2014/main" id="{00000000-0008-0000-0300-0000C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3" name="Picture 56" descr="http://www.vcgr.vic.gov.au/icons/ecblank.gif">
          <a:extLst>
            <a:ext uri="{FF2B5EF4-FFF2-40B4-BE49-F238E27FC236}">
              <a16:creationId xmlns:a16="http://schemas.microsoft.com/office/drawing/2014/main" id="{00000000-0008-0000-0300-0000C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4" name="Picture 57" descr="http://www.vcgr.vic.gov.au/icons/ecblank.gif">
          <a:extLst>
            <a:ext uri="{FF2B5EF4-FFF2-40B4-BE49-F238E27FC236}">
              <a16:creationId xmlns:a16="http://schemas.microsoft.com/office/drawing/2014/main" id="{00000000-0008-0000-0300-0000C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5" name="Picture 58" descr="http://www.vcgr.vic.gov.au/icons/ecblank.gif">
          <a:extLst>
            <a:ext uri="{FF2B5EF4-FFF2-40B4-BE49-F238E27FC236}">
              <a16:creationId xmlns:a16="http://schemas.microsoft.com/office/drawing/2014/main" id="{00000000-0008-0000-0300-0000C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6" name="Picture 59" descr="http://www.vcgr.vic.gov.au/icons/ecblank.gif">
          <a:extLst>
            <a:ext uri="{FF2B5EF4-FFF2-40B4-BE49-F238E27FC236}">
              <a16:creationId xmlns:a16="http://schemas.microsoft.com/office/drawing/2014/main" id="{00000000-0008-0000-0300-0000C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7" name="Picture 60" descr="http://www.vcgr.vic.gov.au/icons/ecblank.gif">
          <a:extLst>
            <a:ext uri="{FF2B5EF4-FFF2-40B4-BE49-F238E27FC236}">
              <a16:creationId xmlns:a16="http://schemas.microsoft.com/office/drawing/2014/main" id="{00000000-0008-0000-0300-0000C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68" name="Picture 61" descr="http://www.vcgr.vic.gov.au/icons/ecblank.gif">
          <a:extLst>
            <a:ext uri="{FF2B5EF4-FFF2-40B4-BE49-F238E27FC236}">
              <a16:creationId xmlns:a16="http://schemas.microsoft.com/office/drawing/2014/main" id="{00000000-0008-0000-0300-0000D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69" name="Picture 62" descr="http://www.vcgr.vic.gov.au/icons/ecblank.gif">
          <a:extLst>
            <a:ext uri="{FF2B5EF4-FFF2-40B4-BE49-F238E27FC236}">
              <a16:creationId xmlns:a16="http://schemas.microsoft.com/office/drawing/2014/main" id="{00000000-0008-0000-0300-0000D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0" name="Picture 63" descr="http://www.vcgr.vic.gov.au/icons/ecblank.gif">
          <a:extLst>
            <a:ext uri="{FF2B5EF4-FFF2-40B4-BE49-F238E27FC236}">
              <a16:creationId xmlns:a16="http://schemas.microsoft.com/office/drawing/2014/main" id="{00000000-0008-0000-0300-0000D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1" name="Picture 64" descr="http://www.vcgr.vic.gov.au/icons/ecblank.gif">
          <a:extLst>
            <a:ext uri="{FF2B5EF4-FFF2-40B4-BE49-F238E27FC236}">
              <a16:creationId xmlns:a16="http://schemas.microsoft.com/office/drawing/2014/main" id="{00000000-0008-0000-0300-0000D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2" name="Picture 65" descr="http://www.vcgr.vic.gov.au/icons/ecblank.gif">
          <a:extLst>
            <a:ext uri="{FF2B5EF4-FFF2-40B4-BE49-F238E27FC236}">
              <a16:creationId xmlns:a16="http://schemas.microsoft.com/office/drawing/2014/main" id="{00000000-0008-0000-0300-0000D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3" name="Picture 66" descr="http://www.vcgr.vic.gov.au/icons/ecblank.gif">
          <a:extLst>
            <a:ext uri="{FF2B5EF4-FFF2-40B4-BE49-F238E27FC236}">
              <a16:creationId xmlns:a16="http://schemas.microsoft.com/office/drawing/2014/main" id="{00000000-0008-0000-0300-0000D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4" name="Picture 67" descr="http://www.vcgr.vic.gov.au/icons/ecblank.gif">
          <a:extLst>
            <a:ext uri="{FF2B5EF4-FFF2-40B4-BE49-F238E27FC236}">
              <a16:creationId xmlns:a16="http://schemas.microsoft.com/office/drawing/2014/main" id="{00000000-0008-0000-0300-0000D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5" name="Picture 68" descr="http://www.vcgr.vic.gov.au/icons/ecblank.gif">
          <a:extLst>
            <a:ext uri="{FF2B5EF4-FFF2-40B4-BE49-F238E27FC236}">
              <a16:creationId xmlns:a16="http://schemas.microsoft.com/office/drawing/2014/main" id="{00000000-0008-0000-0300-0000D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6" name="Picture 69" descr="http://www.vcgr.vic.gov.au/icons/ecblank.gif">
          <a:extLst>
            <a:ext uri="{FF2B5EF4-FFF2-40B4-BE49-F238E27FC236}">
              <a16:creationId xmlns:a16="http://schemas.microsoft.com/office/drawing/2014/main" id="{00000000-0008-0000-0300-0000D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7" name="Picture 70" descr="http://www.vcgr.vic.gov.au/icons/ecblank.gif">
          <a:extLst>
            <a:ext uri="{FF2B5EF4-FFF2-40B4-BE49-F238E27FC236}">
              <a16:creationId xmlns:a16="http://schemas.microsoft.com/office/drawing/2014/main" id="{00000000-0008-0000-0300-0000D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8" name="Picture 71" descr="http://www.vcgr.vic.gov.au/icons/ecblank.gif">
          <a:extLst>
            <a:ext uri="{FF2B5EF4-FFF2-40B4-BE49-F238E27FC236}">
              <a16:creationId xmlns:a16="http://schemas.microsoft.com/office/drawing/2014/main" id="{00000000-0008-0000-0300-0000D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9" name="Picture 72" descr="http://www.vcgr.vic.gov.au/icons/ecblank.gif">
          <a:extLst>
            <a:ext uri="{FF2B5EF4-FFF2-40B4-BE49-F238E27FC236}">
              <a16:creationId xmlns:a16="http://schemas.microsoft.com/office/drawing/2014/main" id="{00000000-0008-0000-0300-0000D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0" name="Picture 73" descr="http://www.vcgr.vic.gov.au/icons/ecblank.gif">
          <a:extLst>
            <a:ext uri="{FF2B5EF4-FFF2-40B4-BE49-F238E27FC236}">
              <a16:creationId xmlns:a16="http://schemas.microsoft.com/office/drawing/2014/main" id="{00000000-0008-0000-0300-0000D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1" name="Picture 74" descr="http://www.vcgr.vic.gov.au/icons/ecblank.gif">
          <a:extLst>
            <a:ext uri="{FF2B5EF4-FFF2-40B4-BE49-F238E27FC236}">
              <a16:creationId xmlns:a16="http://schemas.microsoft.com/office/drawing/2014/main" id="{00000000-0008-0000-0300-0000D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2" name="Picture 75" descr="http://www.vcgr.vic.gov.au/icons/ecblank.gif">
          <a:extLst>
            <a:ext uri="{FF2B5EF4-FFF2-40B4-BE49-F238E27FC236}">
              <a16:creationId xmlns:a16="http://schemas.microsoft.com/office/drawing/2014/main" id="{00000000-0008-0000-0300-0000D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3" name="Picture 76" descr="http://www.vcgr.vic.gov.au/icons/ecblank.gif">
          <a:extLst>
            <a:ext uri="{FF2B5EF4-FFF2-40B4-BE49-F238E27FC236}">
              <a16:creationId xmlns:a16="http://schemas.microsoft.com/office/drawing/2014/main" id="{00000000-0008-0000-0300-0000D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4" name="Picture 77" descr="http://www.vcgr.vic.gov.au/icons/ecblank.gif">
          <a:extLst>
            <a:ext uri="{FF2B5EF4-FFF2-40B4-BE49-F238E27FC236}">
              <a16:creationId xmlns:a16="http://schemas.microsoft.com/office/drawing/2014/main" id="{00000000-0008-0000-0300-0000E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5" name="Picture 78" descr="http://www.vcgr.vic.gov.au/icons/ecblank.gif">
          <a:extLst>
            <a:ext uri="{FF2B5EF4-FFF2-40B4-BE49-F238E27FC236}">
              <a16:creationId xmlns:a16="http://schemas.microsoft.com/office/drawing/2014/main" id="{00000000-0008-0000-0300-0000E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6" name="Picture 79" descr="http://www.vcgr.vic.gov.au/icons/ecblank.gif">
          <a:extLst>
            <a:ext uri="{FF2B5EF4-FFF2-40B4-BE49-F238E27FC236}">
              <a16:creationId xmlns:a16="http://schemas.microsoft.com/office/drawing/2014/main" id="{00000000-0008-0000-0300-0000E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7" name="Picture 80" descr="http://www.vcgr.vic.gov.au/icons/ecblank.gif">
          <a:extLst>
            <a:ext uri="{FF2B5EF4-FFF2-40B4-BE49-F238E27FC236}">
              <a16:creationId xmlns:a16="http://schemas.microsoft.com/office/drawing/2014/main" id="{00000000-0008-0000-0300-0000E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8" name="Picture 81" descr="http://www.vcgr.vic.gov.au/icons/ecblank.gif">
          <a:extLst>
            <a:ext uri="{FF2B5EF4-FFF2-40B4-BE49-F238E27FC236}">
              <a16:creationId xmlns:a16="http://schemas.microsoft.com/office/drawing/2014/main" id="{00000000-0008-0000-0300-0000E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9" name="Picture 82" descr="http://www.vcgr.vic.gov.au/icons/ecblank.gif">
          <a:extLst>
            <a:ext uri="{FF2B5EF4-FFF2-40B4-BE49-F238E27FC236}">
              <a16:creationId xmlns:a16="http://schemas.microsoft.com/office/drawing/2014/main" id="{00000000-0008-0000-0300-0000E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90" name="Picture 83" descr="http://www.vcgr.vic.gov.au/icons/ecblank.gif">
          <a:extLst>
            <a:ext uri="{FF2B5EF4-FFF2-40B4-BE49-F238E27FC236}">
              <a16:creationId xmlns:a16="http://schemas.microsoft.com/office/drawing/2014/main" id="{00000000-0008-0000-0300-0000E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91" name="Picture 84" descr="http://www.vcgr.vic.gov.au/icons/ecblank.gif">
          <a:extLst>
            <a:ext uri="{FF2B5EF4-FFF2-40B4-BE49-F238E27FC236}">
              <a16:creationId xmlns:a16="http://schemas.microsoft.com/office/drawing/2014/main" id="{00000000-0008-0000-0300-0000E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2" name="Picture 1696" descr="ecblank">
          <a:extLst>
            <a:ext uri="{FF2B5EF4-FFF2-40B4-BE49-F238E27FC236}">
              <a16:creationId xmlns:a16="http://schemas.microsoft.com/office/drawing/2014/main" id="{00000000-0008-0000-0300-0000E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3" name="Picture 1697" descr="ecblank">
          <a:extLst>
            <a:ext uri="{FF2B5EF4-FFF2-40B4-BE49-F238E27FC236}">
              <a16:creationId xmlns:a16="http://schemas.microsoft.com/office/drawing/2014/main" id="{00000000-0008-0000-0300-0000E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4" name="Picture 1698" descr="ecblank">
          <a:extLst>
            <a:ext uri="{FF2B5EF4-FFF2-40B4-BE49-F238E27FC236}">
              <a16:creationId xmlns:a16="http://schemas.microsoft.com/office/drawing/2014/main" id="{00000000-0008-0000-0300-0000E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5" name="Picture 1699" descr="ecblank">
          <a:extLst>
            <a:ext uri="{FF2B5EF4-FFF2-40B4-BE49-F238E27FC236}">
              <a16:creationId xmlns:a16="http://schemas.microsoft.com/office/drawing/2014/main" id="{00000000-0008-0000-0300-0000E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6" name="Picture 1700" descr="ecblank">
          <a:extLst>
            <a:ext uri="{FF2B5EF4-FFF2-40B4-BE49-F238E27FC236}">
              <a16:creationId xmlns:a16="http://schemas.microsoft.com/office/drawing/2014/main" id="{00000000-0008-0000-0300-0000E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7" name="Picture 1701" descr="ecblank">
          <a:extLst>
            <a:ext uri="{FF2B5EF4-FFF2-40B4-BE49-F238E27FC236}">
              <a16:creationId xmlns:a16="http://schemas.microsoft.com/office/drawing/2014/main" id="{00000000-0008-0000-0300-0000E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8" name="Picture 1702" descr="ecblank">
          <a:extLst>
            <a:ext uri="{FF2B5EF4-FFF2-40B4-BE49-F238E27FC236}">
              <a16:creationId xmlns:a16="http://schemas.microsoft.com/office/drawing/2014/main" id="{00000000-0008-0000-0300-0000E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9" name="Picture 1703" descr="ecblank">
          <a:extLst>
            <a:ext uri="{FF2B5EF4-FFF2-40B4-BE49-F238E27FC236}">
              <a16:creationId xmlns:a16="http://schemas.microsoft.com/office/drawing/2014/main" id="{00000000-0008-0000-0300-0000E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200" name="Picture 1704" descr="ecblank">
          <a:extLst>
            <a:ext uri="{FF2B5EF4-FFF2-40B4-BE49-F238E27FC236}">
              <a16:creationId xmlns:a16="http://schemas.microsoft.com/office/drawing/2014/main" id="{00000000-0008-0000-0300-0000F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201" name="Picture 1705" descr="ecblank">
          <a:extLst>
            <a:ext uri="{FF2B5EF4-FFF2-40B4-BE49-F238E27FC236}">
              <a16:creationId xmlns:a16="http://schemas.microsoft.com/office/drawing/2014/main" id="{00000000-0008-0000-0300-0000F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202" name="Picture 1706" descr="ecblank">
          <a:extLst>
            <a:ext uri="{FF2B5EF4-FFF2-40B4-BE49-F238E27FC236}">
              <a16:creationId xmlns:a16="http://schemas.microsoft.com/office/drawing/2014/main" id="{00000000-0008-0000-0300-0000F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203" name="Picture 1707" descr="ecblank">
          <a:extLst>
            <a:ext uri="{FF2B5EF4-FFF2-40B4-BE49-F238E27FC236}">
              <a16:creationId xmlns:a16="http://schemas.microsoft.com/office/drawing/2014/main" id="{00000000-0008-0000-0300-0000F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4" name="Picture 1708" descr="ecblank">
          <a:extLst>
            <a:ext uri="{FF2B5EF4-FFF2-40B4-BE49-F238E27FC236}">
              <a16:creationId xmlns:a16="http://schemas.microsoft.com/office/drawing/2014/main" id="{00000000-0008-0000-0300-0000F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5" name="Picture 1709" descr="ecblank">
          <a:extLst>
            <a:ext uri="{FF2B5EF4-FFF2-40B4-BE49-F238E27FC236}">
              <a16:creationId xmlns:a16="http://schemas.microsoft.com/office/drawing/2014/main" id="{00000000-0008-0000-0300-0000F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6" name="Picture 1710" descr="ecblank">
          <a:extLst>
            <a:ext uri="{FF2B5EF4-FFF2-40B4-BE49-F238E27FC236}">
              <a16:creationId xmlns:a16="http://schemas.microsoft.com/office/drawing/2014/main" id="{00000000-0008-0000-0300-0000F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7" name="Picture 1711" descr="ecblank">
          <a:extLst>
            <a:ext uri="{FF2B5EF4-FFF2-40B4-BE49-F238E27FC236}">
              <a16:creationId xmlns:a16="http://schemas.microsoft.com/office/drawing/2014/main" id="{00000000-0008-0000-0300-0000F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8" name="Picture 1712" descr="ecblank">
          <a:extLst>
            <a:ext uri="{FF2B5EF4-FFF2-40B4-BE49-F238E27FC236}">
              <a16:creationId xmlns:a16="http://schemas.microsoft.com/office/drawing/2014/main" id="{00000000-0008-0000-0300-0000F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9" name="Picture 1713" descr="ecblank">
          <a:extLst>
            <a:ext uri="{FF2B5EF4-FFF2-40B4-BE49-F238E27FC236}">
              <a16:creationId xmlns:a16="http://schemas.microsoft.com/office/drawing/2014/main" id="{00000000-0008-0000-0300-0000F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0" name="Picture 1714" descr="ecblank">
          <a:extLst>
            <a:ext uri="{FF2B5EF4-FFF2-40B4-BE49-F238E27FC236}">
              <a16:creationId xmlns:a16="http://schemas.microsoft.com/office/drawing/2014/main" id="{00000000-0008-0000-0300-0000F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1" name="Picture 1715" descr="ecblank">
          <a:extLst>
            <a:ext uri="{FF2B5EF4-FFF2-40B4-BE49-F238E27FC236}">
              <a16:creationId xmlns:a16="http://schemas.microsoft.com/office/drawing/2014/main" id="{00000000-0008-0000-0300-0000F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2" name="Picture 1716" descr="ecblank">
          <a:extLst>
            <a:ext uri="{FF2B5EF4-FFF2-40B4-BE49-F238E27FC236}">
              <a16:creationId xmlns:a16="http://schemas.microsoft.com/office/drawing/2014/main" id="{00000000-0008-0000-0300-0000F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3" name="Picture 1717" descr="ecblank">
          <a:extLst>
            <a:ext uri="{FF2B5EF4-FFF2-40B4-BE49-F238E27FC236}">
              <a16:creationId xmlns:a16="http://schemas.microsoft.com/office/drawing/2014/main" id="{00000000-0008-0000-0300-0000F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4" name="Picture 1718" descr="ecblank">
          <a:extLst>
            <a:ext uri="{FF2B5EF4-FFF2-40B4-BE49-F238E27FC236}">
              <a16:creationId xmlns:a16="http://schemas.microsoft.com/office/drawing/2014/main" id="{00000000-0008-0000-0300-0000F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5" name="Picture 1719" descr="ecblank">
          <a:extLst>
            <a:ext uri="{FF2B5EF4-FFF2-40B4-BE49-F238E27FC236}">
              <a16:creationId xmlns:a16="http://schemas.microsoft.com/office/drawing/2014/main" id="{00000000-0008-0000-0300-0000F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16" name="Picture 1720" descr="ecblank">
          <a:extLst>
            <a:ext uri="{FF2B5EF4-FFF2-40B4-BE49-F238E27FC236}">
              <a16:creationId xmlns:a16="http://schemas.microsoft.com/office/drawing/2014/main" id="{00000000-0008-0000-0300-00000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17" name="Picture 1721" descr="ecblank">
          <a:extLst>
            <a:ext uri="{FF2B5EF4-FFF2-40B4-BE49-F238E27FC236}">
              <a16:creationId xmlns:a16="http://schemas.microsoft.com/office/drawing/2014/main" id="{00000000-0008-0000-0300-00000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18" name="Picture 1722" descr="ecblank">
          <a:extLst>
            <a:ext uri="{FF2B5EF4-FFF2-40B4-BE49-F238E27FC236}">
              <a16:creationId xmlns:a16="http://schemas.microsoft.com/office/drawing/2014/main" id="{00000000-0008-0000-0300-00000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19" name="Picture 1723" descr="ecblank">
          <a:extLst>
            <a:ext uri="{FF2B5EF4-FFF2-40B4-BE49-F238E27FC236}">
              <a16:creationId xmlns:a16="http://schemas.microsoft.com/office/drawing/2014/main" id="{00000000-0008-0000-0300-00000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0" name="Picture 1724" descr="ecblank">
          <a:extLst>
            <a:ext uri="{FF2B5EF4-FFF2-40B4-BE49-F238E27FC236}">
              <a16:creationId xmlns:a16="http://schemas.microsoft.com/office/drawing/2014/main" id="{00000000-0008-0000-0300-00000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1" name="Picture 1725" descr="ecblank">
          <a:extLst>
            <a:ext uri="{FF2B5EF4-FFF2-40B4-BE49-F238E27FC236}">
              <a16:creationId xmlns:a16="http://schemas.microsoft.com/office/drawing/2014/main" id="{00000000-0008-0000-0300-00000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2" name="Picture 1726" descr="ecblank">
          <a:extLst>
            <a:ext uri="{FF2B5EF4-FFF2-40B4-BE49-F238E27FC236}">
              <a16:creationId xmlns:a16="http://schemas.microsoft.com/office/drawing/2014/main" id="{00000000-0008-0000-0300-00000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3" name="Picture 1727" descr="ecblank">
          <a:extLst>
            <a:ext uri="{FF2B5EF4-FFF2-40B4-BE49-F238E27FC236}">
              <a16:creationId xmlns:a16="http://schemas.microsoft.com/office/drawing/2014/main" id="{00000000-0008-0000-0300-00000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4" name="Picture 1728" descr="ecblank">
          <a:extLst>
            <a:ext uri="{FF2B5EF4-FFF2-40B4-BE49-F238E27FC236}">
              <a16:creationId xmlns:a16="http://schemas.microsoft.com/office/drawing/2014/main" id="{00000000-0008-0000-0300-00000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5" name="Picture 1729" descr="ecblank">
          <a:extLst>
            <a:ext uri="{FF2B5EF4-FFF2-40B4-BE49-F238E27FC236}">
              <a16:creationId xmlns:a16="http://schemas.microsoft.com/office/drawing/2014/main" id="{00000000-0008-0000-0300-00000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6" name="Picture 1730" descr="ecblank">
          <a:extLst>
            <a:ext uri="{FF2B5EF4-FFF2-40B4-BE49-F238E27FC236}">
              <a16:creationId xmlns:a16="http://schemas.microsoft.com/office/drawing/2014/main" id="{00000000-0008-0000-0300-00000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7" name="Picture 1731" descr="ecblank">
          <a:extLst>
            <a:ext uri="{FF2B5EF4-FFF2-40B4-BE49-F238E27FC236}">
              <a16:creationId xmlns:a16="http://schemas.microsoft.com/office/drawing/2014/main" id="{00000000-0008-0000-0300-00000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28" name="Picture 1732" descr="ecblank">
          <a:extLst>
            <a:ext uri="{FF2B5EF4-FFF2-40B4-BE49-F238E27FC236}">
              <a16:creationId xmlns:a16="http://schemas.microsoft.com/office/drawing/2014/main" id="{00000000-0008-0000-0300-00000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29" name="Picture 1733" descr="ecblank">
          <a:extLst>
            <a:ext uri="{FF2B5EF4-FFF2-40B4-BE49-F238E27FC236}">
              <a16:creationId xmlns:a16="http://schemas.microsoft.com/office/drawing/2014/main" id="{00000000-0008-0000-0300-00000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0" name="Picture 1734" descr="ecblank">
          <a:extLst>
            <a:ext uri="{FF2B5EF4-FFF2-40B4-BE49-F238E27FC236}">
              <a16:creationId xmlns:a16="http://schemas.microsoft.com/office/drawing/2014/main" id="{00000000-0008-0000-0300-00000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1" name="Picture 1735" descr="ecblank">
          <a:extLst>
            <a:ext uri="{FF2B5EF4-FFF2-40B4-BE49-F238E27FC236}">
              <a16:creationId xmlns:a16="http://schemas.microsoft.com/office/drawing/2014/main" id="{00000000-0008-0000-0300-00000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2" name="Picture 1736" descr="ecblank">
          <a:extLst>
            <a:ext uri="{FF2B5EF4-FFF2-40B4-BE49-F238E27FC236}">
              <a16:creationId xmlns:a16="http://schemas.microsoft.com/office/drawing/2014/main" id="{00000000-0008-0000-0300-00001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3" name="Picture 1737" descr="ecblank">
          <a:extLst>
            <a:ext uri="{FF2B5EF4-FFF2-40B4-BE49-F238E27FC236}">
              <a16:creationId xmlns:a16="http://schemas.microsoft.com/office/drawing/2014/main" id="{00000000-0008-0000-0300-00001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4" name="Picture 1738" descr="ecblank">
          <a:extLst>
            <a:ext uri="{FF2B5EF4-FFF2-40B4-BE49-F238E27FC236}">
              <a16:creationId xmlns:a16="http://schemas.microsoft.com/office/drawing/2014/main" id="{00000000-0008-0000-0300-00001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5" name="Picture 1739" descr="ecblank">
          <a:extLst>
            <a:ext uri="{FF2B5EF4-FFF2-40B4-BE49-F238E27FC236}">
              <a16:creationId xmlns:a16="http://schemas.microsoft.com/office/drawing/2014/main" id="{00000000-0008-0000-0300-00001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6" name="Picture 1740" descr="ecblank">
          <a:extLst>
            <a:ext uri="{FF2B5EF4-FFF2-40B4-BE49-F238E27FC236}">
              <a16:creationId xmlns:a16="http://schemas.microsoft.com/office/drawing/2014/main" id="{00000000-0008-0000-0300-00001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7" name="Picture 1741" descr="ecblank">
          <a:extLst>
            <a:ext uri="{FF2B5EF4-FFF2-40B4-BE49-F238E27FC236}">
              <a16:creationId xmlns:a16="http://schemas.microsoft.com/office/drawing/2014/main" id="{00000000-0008-0000-0300-00001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8" name="Picture 1742" descr="ecblank">
          <a:extLst>
            <a:ext uri="{FF2B5EF4-FFF2-40B4-BE49-F238E27FC236}">
              <a16:creationId xmlns:a16="http://schemas.microsoft.com/office/drawing/2014/main" id="{00000000-0008-0000-0300-00001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9" name="Picture 1743" descr="ecblank">
          <a:extLst>
            <a:ext uri="{FF2B5EF4-FFF2-40B4-BE49-F238E27FC236}">
              <a16:creationId xmlns:a16="http://schemas.microsoft.com/office/drawing/2014/main" id="{00000000-0008-0000-0300-00001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0" name="Picture 1744" descr="ecblank">
          <a:extLst>
            <a:ext uri="{FF2B5EF4-FFF2-40B4-BE49-F238E27FC236}">
              <a16:creationId xmlns:a16="http://schemas.microsoft.com/office/drawing/2014/main" id="{00000000-0008-0000-0300-00001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1" name="Picture 1745" descr="ecblank">
          <a:extLst>
            <a:ext uri="{FF2B5EF4-FFF2-40B4-BE49-F238E27FC236}">
              <a16:creationId xmlns:a16="http://schemas.microsoft.com/office/drawing/2014/main" id="{00000000-0008-0000-0300-00001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2" name="Picture 1746" descr="ecblank">
          <a:extLst>
            <a:ext uri="{FF2B5EF4-FFF2-40B4-BE49-F238E27FC236}">
              <a16:creationId xmlns:a16="http://schemas.microsoft.com/office/drawing/2014/main" id="{00000000-0008-0000-0300-00001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3" name="Picture 1747" descr="ecblank">
          <a:extLst>
            <a:ext uri="{FF2B5EF4-FFF2-40B4-BE49-F238E27FC236}">
              <a16:creationId xmlns:a16="http://schemas.microsoft.com/office/drawing/2014/main" id="{00000000-0008-0000-0300-00001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4" name="Picture 1748" descr="ecblank">
          <a:extLst>
            <a:ext uri="{FF2B5EF4-FFF2-40B4-BE49-F238E27FC236}">
              <a16:creationId xmlns:a16="http://schemas.microsoft.com/office/drawing/2014/main" id="{00000000-0008-0000-0300-00001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5" name="Picture 1749" descr="ecblank">
          <a:extLst>
            <a:ext uri="{FF2B5EF4-FFF2-40B4-BE49-F238E27FC236}">
              <a16:creationId xmlns:a16="http://schemas.microsoft.com/office/drawing/2014/main" id="{00000000-0008-0000-0300-00001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6" name="Picture 1750" descr="ecblank">
          <a:extLst>
            <a:ext uri="{FF2B5EF4-FFF2-40B4-BE49-F238E27FC236}">
              <a16:creationId xmlns:a16="http://schemas.microsoft.com/office/drawing/2014/main" id="{00000000-0008-0000-0300-00001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7" name="Picture 1751" descr="ecblank">
          <a:extLst>
            <a:ext uri="{FF2B5EF4-FFF2-40B4-BE49-F238E27FC236}">
              <a16:creationId xmlns:a16="http://schemas.microsoft.com/office/drawing/2014/main" id="{00000000-0008-0000-0300-00001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8" name="Picture 1752" descr="ecblank">
          <a:extLst>
            <a:ext uri="{FF2B5EF4-FFF2-40B4-BE49-F238E27FC236}">
              <a16:creationId xmlns:a16="http://schemas.microsoft.com/office/drawing/2014/main" id="{00000000-0008-0000-0300-00002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9" name="Picture 1753" descr="ecblank">
          <a:extLst>
            <a:ext uri="{FF2B5EF4-FFF2-40B4-BE49-F238E27FC236}">
              <a16:creationId xmlns:a16="http://schemas.microsoft.com/office/drawing/2014/main" id="{00000000-0008-0000-0300-00002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50" name="Picture 1754" descr="ecblank">
          <a:extLst>
            <a:ext uri="{FF2B5EF4-FFF2-40B4-BE49-F238E27FC236}">
              <a16:creationId xmlns:a16="http://schemas.microsoft.com/office/drawing/2014/main" id="{00000000-0008-0000-0300-00002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51" name="Picture 1755" descr="ecblank">
          <a:extLst>
            <a:ext uri="{FF2B5EF4-FFF2-40B4-BE49-F238E27FC236}">
              <a16:creationId xmlns:a16="http://schemas.microsoft.com/office/drawing/2014/main" id="{00000000-0008-0000-0300-00002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2" name="Picture 1756" descr="ecblank">
          <a:extLst>
            <a:ext uri="{FF2B5EF4-FFF2-40B4-BE49-F238E27FC236}">
              <a16:creationId xmlns:a16="http://schemas.microsoft.com/office/drawing/2014/main" id="{00000000-0008-0000-0300-00002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3" name="Picture 1757" descr="ecblank">
          <a:extLst>
            <a:ext uri="{FF2B5EF4-FFF2-40B4-BE49-F238E27FC236}">
              <a16:creationId xmlns:a16="http://schemas.microsoft.com/office/drawing/2014/main" id="{00000000-0008-0000-0300-00002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4" name="Picture 1758" descr="ecblank">
          <a:extLst>
            <a:ext uri="{FF2B5EF4-FFF2-40B4-BE49-F238E27FC236}">
              <a16:creationId xmlns:a16="http://schemas.microsoft.com/office/drawing/2014/main" id="{00000000-0008-0000-0300-00002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5" name="Picture 1759" descr="ecblank">
          <a:extLst>
            <a:ext uri="{FF2B5EF4-FFF2-40B4-BE49-F238E27FC236}">
              <a16:creationId xmlns:a16="http://schemas.microsoft.com/office/drawing/2014/main" id="{00000000-0008-0000-0300-00002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6" name="Picture 1760" descr="ecblank">
          <a:extLst>
            <a:ext uri="{FF2B5EF4-FFF2-40B4-BE49-F238E27FC236}">
              <a16:creationId xmlns:a16="http://schemas.microsoft.com/office/drawing/2014/main" id="{00000000-0008-0000-0300-00002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7" name="Picture 1761" descr="ecblank">
          <a:extLst>
            <a:ext uri="{FF2B5EF4-FFF2-40B4-BE49-F238E27FC236}">
              <a16:creationId xmlns:a16="http://schemas.microsoft.com/office/drawing/2014/main" id="{00000000-0008-0000-0300-00002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8" name="Picture 1762" descr="ecblank">
          <a:extLst>
            <a:ext uri="{FF2B5EF4-FFF2-40B4-BE49-F238E27FC236}">
              <a16:creationId xmlns:a16="http://schemas.microsoft.com/office/drawing/2014/main" id="{00000000-0008-0000-0300-00002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9" name="Picture 1763" descr="ecblank">
          <a:extLst>
            <a:ext uri="{FF2B5EF4-FFF2-40B4-BE49-F238E27FC236}">
              <a16:creationId xmlns:a16="http://schemas.microsoft.com/office/drawing/2014/main" id="{00000000-0008-0000-0300-00002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60" name="Picture 1764" descr="ecblank">
          <a:extLst>
            <a:ext uri="{FF2B5EF4-FFF2-40B4-BE49-F238E27FC236}">
              <a16:creationId xmlns:a16="http://schemas.microsoft.com/office/drawing/2014/main" id="{00000000-0008-0000-0300-00002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61" name="Picture 1765" descr="ecblank">
          <a:extLst>
            <a:ext uri="{FF2B5EF4-FFF2-40B4-BE49-F238E27FC236}">
              <a16:creationId xmlns:a16="http://schemas.microsoft.com/office/drawing/2014/main" id="{00000000-0008-0000-0300-00002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62" name="Picture 1766" descr="ecblank">
          <a:extLst>
            <a:ext uri="{FF2B5EF4-FFF2-40B4-BE49-F238E27FC236}">
              <a16:creationId xmlns:a16="http://schemas.microsoft.com/office/drawing/2014/main" id="{00000000-0008-0000-0300-00002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63" name="Picture 1767" descr="ecblank">
          <a:extLst>
            <a:ext uri="{FF2B5EF4-FFF2-40B4-BE49-F238E27FC236}">
              <a16:creationId xmlns:a16="http://schemas.microsoft.com/office/drawing/2014/main" id="{00000000-0008-0000-0300-00002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4" name="Picture 1768" descr="ecblank">
          <a:extLst>
            <a:ext uri="{FF2B5EF4-FFF2-40B4-BE49-F238E27FC236}">
              <a16:creationId xmlns:a16="http://schemas.microsoft.com/office/drawing/2014/main" id="{00000000-0008-0000-0300-00003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5" name="Picture 1769" descr="ecblank">
          <a:extLst>
            <a:ext uri="{FF2B5EF4-FFF2-40B4-BE49-F238E27FC236}">
              <a16:creationId xmlns:a16="http://schemas.microsoft.com/office/drawing/2014/main" id="{00000000-0008-0000-0300-00003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6" name="Picture 1770" descr="ecblank">
          <a:extLst>
            <a:ext uri="{FF2B5EF4-FFF2-40B4-BE49-F238E27FC236}">
              <a16:creationId xmlns:a16="http://schemas.microsoft.com/office/drawing/2014/main" id="{00000000-0008-0000-0300-00003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7" name="Picture 1771" descr="ecblank">
          <a:extLst>
            <a:ext uri="{FF2B5EF4-FFF2-40B4-BE49-F238E27FC236}">
              <a16:creationId xmlns:a16="http://schemas.microsoft.com/office/drawing/2014/main" id="{00000000-0008-0000-0300-00003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8" name="Picture 1772" descr="ecblank">
          <a:extLst>
            <a:ext uri="{FF2B5EF4-FFF2-40B4-BE49-F238E27FC236}">
              <a16:creationId xmlns:a16="http://schemas.microsoft.com/office/drawing/2014/main" id="{00000000-0008-0000-0300-00003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9" name="Picture 1773" descr="ecblank">
          <a:extLst>
            <a:ext uri="{FF2B5EF4-FFF2-40B4-BE49-F238E27FC236}">
              <a16:creationId xmlns:a16="http://schemas.microsoft.com/office/drawing/2014/main" id="{00000000-0008-0000-0300-00003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0" name="Picture 1774" descr="ecblank">
          <a:extLst>
            <a:ext uri="{FF2B5EF4-FFF2-40B4-BE49-F238E27FC236}">
              <a16:creationId xmlns:a16="http://schemas.microsoft.com/office/drawing/2014/main" id="{00000000-0008-0000-0300-00003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1" name="Picture 1775" descr="ecblank">
          <a:extLst>
            <a:ext uri="{FF2B5EF4-FFF2-40B4-BE49-F238E27FC236}">
              <a16:creationId xmlns:a16="http://schemas.microsoft.com/office/drawing/2014/main" id="{00000000-0008-0000-0300-00003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2" name="Picture 1776" descr="ecblank">
          <a:extLst>
            <a:ext uri="{FF2B5EF4-FFF2-40B4-BE49-F238E27FC236}">
              <a16:creationId xmlns:a16="http://schemas.microsoft.com/office/drawing/2014/main" id="{00000000-0008-0000-0300-00003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3" name="Picture 1777" descr="ecblank">
          <a:extLst>
            <a:ext uri="{FF2B5EF4-FFF2-40B4-BE49-F238E27FC236}">
              <a16:creationId xmlns:a16="http://schemas.microsoft.com/office/drawing/2014/main" id="{00000000-0008-0000-0300-00003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4" name="Picture 1778" descr="ecblank">
          <a:extLst>
            <a:ext uri="{FF2B5EF4-FFF2-40B4-BE49-F238E27FC236}">
              <a16:creationId xmlns:a16="http://schemas.microsoft.com/office/drawing/2014/main" id="{00000000-0008-0000-0300-00003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5" name="Picture 1779" descr="ecblank">
          <a:extLst>
            <a:ext uri="{FF2B5EF4-FFF2-40B4-BE49-F238E27FC236}">
              <a16:creationId xmlns:a16="http://schemas.microsoft.com/office/drawing/2014/main" id="{00000000-0008-0000-0300-00003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76" name="Picture 337" descr="http://www.vcgr.vic.gov.au/icons/ecblank.gif">
          <a:extLst>
            <a:ext uri="{FF2B5EF4-FFF2-40B4-BE49-F238E27FC236}">
              <a16:creationId xmlns:a16="http://schemas.microsoft.com/office/drawing/2014/main" id="{00000000-0008-0000-0300-00003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77" name="Picture 338" descr="http://www.vcgr.vic.gov.au/icons/ecblank.gif">
          <a:extLst>
            <a:ext uri="{FF2B5EF4-FFF2-40B4-BE49-F238E27FC236}">
              <a16:creationId xmlns:a16="http://schemas.microsoft.com/office/drawing/2014/main" id="{00000000-0008-0000-0300-00003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78" name="Picture 339" descr="http://www.vcgr.vic.gov.au/icons/ecblank.gif">
          <a:extLst>
            <a:ext uri="{FF2B5EF4-FFF2-40B4-BE49-F238E27FC236}">
              <a16:creationId xmlns:a16="http://schemas.microsoft.com/office/drawing/2014/main" id="{00000000-0008-0000-0300-00003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79" name="Picture 340" descr="http://www.vcgr.vic.gov.au/icons/ecblank.gif">
          <a:extLst>
            <a:ext uri="{FF2B5EF4-FFF2-40B4-BE49-F238E27FC236}">
              <a16:creationId xmlns:a16="http://schemas.microsoft.com/office/drawing/2014/main" id="{00000000-0008-0000-0300-00003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0" name="Picture 341" descr="http://www.vcgr.vic.gov.au/icons/ecblank.gif">
          <a:extLst>
            <a:ext uri="{FF2B5EF4-FFF2-40B4-BE49-F238E27FC236}">
              <a16:creationId xmlns:a16="http://schemas.microsoft.com/office/drawing/2014/main" id="{00000000-0008-0000-0300-00004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1" name="Picture 342" descr="http://www.vcgr.vic.gov.au/icons/ecblank.gif">
          <a:extLst>
            <a:ext uri="{FF2B5EF4-FFF2-40B4-BE49-F238E27FC236}">
              <a16:creationId xmlns:a16="http://schemas.microsoft.com/office/drawing/2014/main" id="{00000000-0008-0000-0300-00004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2" name="Picture 343" descr="http://www.vcgr.vic.gov.au/icons/ecblank.gif">
          <a:extLst>
            <a:ext uri="{FF2B5EF4-FFF2-40B4-BE49-F238E27FC236}">
              <a16:creationId xmlns:a16="http://schemas.microsoft.com/office/drawing/2014/main" id="{00000000-0008-0000-0300-00004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3" name="Picture 344" descr="http://www.vcgr.vic.gov.au/icons/ecblank.gif">
          <a:extLst>
            <a:ext uri="{FF2B5EF4-FFF2-40B4-BE49-F238E27FC236}">
              <a16:creationId xmlns:a16="http://schemas.microsoft.com/office/drawing/2014/main" id="{00000000-0008-0000-0300-00004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4" name="Picture 345" descr="http://www.vcgr.vic.gov.au/icons/ecblank.gif">
          <a:extLst>
            <a:ext uri="{FF2B5EF4-FFF2-40B4-BE49-F238E27FC236}">
              <a16:creationId xmlns:a16="http://schemas.microsoft.com/office/drawing/2014/main" id="{00000000-0008-0000-0300-00004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5" name="Picture 346" descr="http://www.vcgr.vic.gov.au/icons/ecblank.gif">
          <a:extLst>
            <a:ext uri="{FF2B5EF4-FFF2-40B4-BE49-F238E27FC236}">
              <a16:creationId xmlns:a16="http://schemas.microsoft.com/office/drawing/2014/main" id="{00000000-0008-0000-0300-00004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6" name="Picture 347" descr="http://www.vcgr.vic.gov.au/icons/ecblank.gif">
          <a:extLst>
            <a:ext uri="{FF2B5EF4-FFF2-40B4-BE49-F238E27FC236}">
              <a16:creationId xmlns:a16="http://schemas.microsoft.com/office/drawing/2014/main" id="{00000000-0008-0000-0300-00004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7" name="Picture 348" descr="http://www.vcgr.vic.gov.au/icons/ecblank.gif">
          <a:extLst>
            <a:ext uri="{FF2B5EF4-FFF2-40B4-BE49-F238E27FC236}">
              <a16:creationId xmlns:a16="http://schemas.microsoft.com/office/drawing/2014/main" id="{00000000-0008-0000-0300-00004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88" name="Picture 349" descr="http://www.vcgr.vic.gov.au/icons/ecblank.gif">
          <a:extLst>
            <a:ext uri="{FF2B5EF4-FFF2-40B4-BE49-F238E27FC236}">
              <a16:creationId xmlns:a16="http://schemas.microsoft.com/office/drawing/2014/main" id="{00000000-0008-0000-0300-00004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89" name="Picture 350" descr="http://www.vcgr.vic.gov.au/icons/ecblank.gif">
          <a:extLst>
            <a:ext uri="{FF2B5EF4-FFF2-40B4-BE49-F238E27FC236}">
              <a16:creationId xmlns:a16="http://schemas.microsoft.com/office/drawing/2014/main" id="{00000000-0008-0000-0300-00004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0" name="Picture 351" descr="http://www.vcgr.vic.gov.au/icons/ecblank.gif">
          <a:extLst>
            <a:ext uri="{FF2B5EF4-FFF2-40B4-BE49-F238E27FC236}">
              <a16:creationId xmlns:a16="http://schemas.microsoft.com/office/drawing/2014/main" id="{00000000-0008-0000-0300-00004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1" name="Picture 352" descr="http://www.vcgr.vic.gov.au/icons/ecblank.gif">
          <a:extLst>
            <a:ext uri="{FF2B5EF4-FFF2-40B4-BE49-F238E27FC236}">
              <a16:creationId xmlns:a16="http://schemas.microsoft.com/office/drawing/2014/main" id="{00000000-0008-0000-0300-00004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2" name="Picture 353" descr="http://www.vcgr.vic.gov.au/icons/ecblank.gif">
          <a:extLst>
            <a:ext uri="{FF2B5EF4-FFF2-40B4-BE49-F238E27FC236}">
              <a16:creationId xmlns:a16="http://schemas.microsoft.com/office/drawing/2014/main" id="{00000000-0008-0000-0300-00004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3" name="Picture 354" descr="http://www.vcgr.vic.gov.au/icons/ecblank.gif">
          <a:extLst>
            <a:ext uri="{FF2B5EF4-FFF2-40B4-BE49-F238E27FC236}">
              <a16:creationId xmlns:a16="http://schemas.microsoft.com/office/drawing/2014/main" id="{00000000-0008-0000-0300-00004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4" name="Picture 355" descr="http://www.vcgr.vic.gov.au/icons/ecblank.gif">
          <a:extLst>
            <a:ext uri="{FF2B5EF4-FFF2-40B4-BE49-F238E27FC236}">
              <a16:creationId xmlns:a16="http://schemas.microsoft.com/office/drawing/2014/main" id="{00000000-0008-0000-0300-00004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5" name="Picture 356" descr="http://www.vcgr.vic.gov.au/icons/ecblank.gif">
          <a:extLst>
            <a:ext uri="{FF2B5EF4-FFF2-40B4-BE49-F238E27FC236}">
              <a16:creationId xmlns:a16="http://schemas.microsoft.com/office/drawing/2014/main" id="{00000000-0008-0000-0300-00004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6" name="Picture 357" descr="http://www.vcgr.vic.gov.au/icons/ecblank.gif">
          <a:extLst>
            <a:ext uri="{FF2B5EF4-FFF2-40B4-BE49-F238E27FC236}">
              <a16:creationId xmlns:a16="http://schemas.microsoft.com/office/drawing/2014/main" id="{00000000-0008-0000-0300-00005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7" name="Picture 358" descr="http://www.vcgr.vic.gov.au/icons/ecblank.gif">
          <a:extLst>
            <a:ext uri="{FF2B5EF4-FFF2-40B4-BE49-F238E27FC236}">
              <a16:creationId xmlns:a16="http://schemas.microsoft.com/office/drawing/2014/main" id="{00000000-0008-0000-0300-00005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8" name="Picture 359" descr="http://www.vcgr.vic.gov.au/icons/ecblank.gif">
          <a:extLst>
            <a:ext uri="{FF2B5EF4-FFF2-40B4-BE49-F238E27FC236}">
              <a16:creationId xmlns:a16="http://schemas.microsoft.com/office/drawing/2014/main" id="{00000000-0008-0000-0300-00005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9" name="Picture 360" descr="http://www.vcgr.vic.gov.au/icons/ecblank.gif">
          <a:extLst>
            <a:ext uri="{FF2B5EF4-FFF2-40B4-BE49-F238E27FC236}">
              <a16:creationId xmlns:a16="http://schemas.microsoft.com/office/drawing/2014/main" id="{00000000-0008-0000-0300-00005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0" name="Picture 361" descr="http://www.vcgr.vic.gov.au/icons/ecblank.gif">
          <a:extLst>
            <a:ext uri="{FF2B5EF4-FFF2-40B4-BE49-F238E27FC236}">
              <a16:creationId xmlns:a16="http://schemas.microsoft.com/office/drawing/2014/main" id="{00000000-0008-0000-0300-00005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1" name="Picture 362" descr="http://www.vcgr.vic.gov.au/icons/ecblank.gif">
          <a:extLst>
            <a:ext uri="{FF2B5EF4-FFF2-40B4-BE49-F238E27FC236}">
              <a16:creationId xmlns:a16="http://schemas.microsoft.com/office/drawing/2014/main" id="{00000000-0008-0000-0300-00005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2" name="Picture 363" descr="http://www.vcgr.vic.gov.au/icons/ecblank.gif">
          <a:extLst>
            <a:ext uri="{FF2B5EF4-FFF2-40B4-BE49-F238E27FC236}">
              <a16:creationId xmlns:a16="http://schemas.microsoft.com/office/drawing/2014/main" id="{00000000-0008-0000-0300-00005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3" name="Picture 364" descr="http://www.vcgr.vic.gov.au/icons/ecblank.gif">
          <a:extLst>
            <a:ext uri="{FF2B5EF4-FFF2-40B4-BE49-F238E27FC236}">
              <a16:creationId xmlns:a16="http://schemas.microsoft.com/office/drawing/2014/main" id="{00000000-0008-0000-0300-00005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4" name="Picture 365" descr="http://www.vcgr.vic.gov.au/icons/ecblank.gif">
          <a:extLst>
            <a:ext uri="{FF2B5EF4-FFF2-40B4-BE49-F238E27FC236}">
              <a16:creationId xmlns:a16="http://schemas.microsoft.com/office/drawing/2014/main" id="{00000000-0008-0000-0300-00005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5" name="Picture 366" descr="http://www.vcgr.vic.gov.au/icons/ecblank.gif">
          <a:extLst>
            <a:ext uri="{FF2B5EF4-FFF2-40B4-BE49-F238E27FC236}">
              <a16:creationId xmlns:a16="http://schemas.microsoft.com/office/drawing/2014/main" id="{00000000-0008-0000-0300-00005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6" name="Picture 367" descr="http://www.vcgr.vic.gov.au/icons/ecblank.gif">
          <a:extLst>
            <a:ext uri="{FF2B5EF4-FFF2-40B4-BE49-F238E27FC236}">
              <a16:creationId xmlns:a16="http://schemas.microsoft.com/office/drawing/2014/main" id="{00000000-0008-0000-0300-00005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7" name="Picture 368" descr="http://www.vcgr.vic.gov.au/icons/ecblank.gif">
          <a:extLst>
            <a:ext uri="{FF2B5EF4-FFF2-40B4-BE49-F238E27FC236}">
              <a16:creationId xmlns:a16="http://schemas.microsoft.com/office/drawing/2014/main" id="{00000000-0008-0000-0300-00005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8" name="Picture 369" descr="http://www.vcgr.vic.gov.au/icons/ecblank.gif">
          <a:extLst>
            <a:ext uri="{FF2B5EF4-FFF2-40B4-BE49-F238E27FC236}">
              <a16:creationId xmlns:a16="http://schemas.microsoft.com/office/drawing/2014/main" id="{00000000-0008-0000-0300-00005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9" name="Picture 370" descr="http://www.vcgr.vic.gov.au/icons/ecblank.gif">
          <a:extLst>
            <a:ext uri="{FF2B5EF4-FFF2-40B4-BE49-F238E27FC236}">
              <a16:creationId xmlns:a16="http://schemas.microsoft.com/office/drawing/2014/main" id="{00000000-0008-0000-0300-00005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10" name="Picture 371" descr="http://www.vcgr.vic.gov.au/icons/ecblank.gif">
          <a:extLst>
            <a:ext uri="{FF2B5EF4-FFF2-40B4-BE49-F238E27FC236}">
              <a16:creationId xmlns:a16="http://schemas.microsoft.com/office/drawing/2014/main" id="{00000000-0008-0000-0300-00005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11" name="Picture 372" descr="http://www.vcgr.vic.gov.au/icons/ecblank.gif">
          <a:extLst>
            <a:ext uri="{FF2B5EF4-FFF2-40B4-BE49-F238E27FC236}">
              <a16:creationId xmlns:a16="http://schemas.microsoft.com/office/drawing/2014/main" id="{00000000-0008-0000-0300-00005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2" name="Picture 373" descr="http://www.vcgr.vic.gov.au/icons/ecblank.gif">
          <a:extLst>
            <a:ext uri="{FF2B5EF4-FFF2-40B4-BE49-F238E27FC236}">
              <a16:creationId xmlns:a16="http://schemas.microsoft.com/office/drawing/2014/main" id="{00000000-0008-0000-0300-00006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3" name="Picture 374" descr="http://www.vcgr.vic.gov.au/icons/ecblank.gif">
          <a:extLst>
            <a:ext uri="{FF2B5EF4-FFF2-40B4-BE49-F238E27FC236}">
              <a16:creationId xmlns:a16="http://schemas.microsoft.com/office/drawing/2014/main" id="{00000000-0008-0000-0300-00006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4" name="Picture 375" descr="http://www.vcgr.vic.gov.au/icons/ecblank.gif">
          <a:extLst>
            <a:ext uri="{FF2B5EF4-FFF2-40B4-BE49-F238E27FC236}">
              <a16:creationId xmlns:a16="http://schemas.microsoft.com/office/drawing/2014/main" id="{00000000-0008-0000-0300-00006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5" name="Picture 376" descr="http://www.vcgr.vic.gov.au/icons/ecblank.gif">
          <a:extLst>
            <a:ext uri="{FF2B5EF4-FFF2-40B4-BE49-F238E27FC236}">
              <a16:creationId xmlns:a16="http://schemas.microsoft.com/office/drawing/2014/main" id="{00000000-0008-0000-0300-00006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6" name="Picture 377" descr="http://www.vcgr.vic.gov.au/icons/ecblank.gif">
          <a:extLst>
            <a:ext uri="{FF2B5EF4-FFF2-40B4-BE49-F238E27FC236}">
              <a16:creationId xmlns:a16="http://schemas.microsoft.com/office/drawing/2014/main" id="{00000000-0008-0000-0300-00006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7" name="Picture 378" descr="http://www.vcgr.vic.gov.au/icons/ecblank.gif">
          <a:extLst>
            <a:ext uri="{FF2B5EF4-FFF2-40B4-BE49-F238E27FC236}">
              <a16:creationId xmlns:a16="http://schemas.microsoft.com/office/drawing/2014/main" id="{00000000-0008-0000-0300-00006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8" name="Picture 379" descr="http://www.vcgr.vic.gov.au/icons/ecblank.gif">
          <a:extLst>
            <a:ext uri="{FF2B5EF4-FFF2-40B4-BE49-F238E27FC236}">
              <a16:creationId xmlns:a16="http://schemas.microsoft.com/office/drawing/2014/main" id="{00000000-0008-0000-0300-00006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9" name="Picture 380" descr="http://www.vcgr.vic.gov.au/icons/ecblank.gif">
          <a:extLst>
            <a:ext uri="{FF2B5EF4-FFF2-40B4-BE49-F238E27FC236}">
              <a16:creationId xmlns:a16="http://schemas.microsoft.com/office/drawing/2014/main" id="{00000000-0008-0000-0300-00006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20" name="Picture 381" descr="http://www.vcgr.vic.gov.au/icons/ecblank.gif">
          <a:extLst>
            <a:ext uri="{FF2B5EF4-FFF2-40B4-BE49-F238E27FC236}">
              <a16:creationId xmlns:a16="http://schemas.microsoft.com/office/drawing/2014/main" id="{00000000-0008-0000-0300-00006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21" name="Picture 382" descr="http://www.vcgr.vic.gov.au/icons/ecblank.gif">
          <a:extLst>
            <a:ext uri="{FF2B5EF4-FFF2-40B4-BE49-F238E27FC236}">
              <a16:creationId xmlns:a16="http://schemas.microsoft.com/office/drawing/2014/main" id="{00000000-0008-0000-0300-00006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22" name="Picture 383" descr="http://www.vcgr.vic.gov.au/icons/ecblank.gif">
          <a:extLst>
            <a:ext uri="{FF2B5EF4-FFF2-40B4-BE49-F238E27FC236}">
              <a16:creationId xmlns:a16="http://schemas.microsoft.com/office/drawing/2014/main" id="{00000000-0008-0000-0300-00006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23" name="Picture 384" descr="http://www.vcgr.vic.gov.au/icons/ecblank.gif">
          <a:extLst>
            <a:ext uri="{FF2B5EF4-FFF2-40B4-BE49-F238E27FC236}">
              <a16:creationId xmlns:a16="http://schemas.microsoft.com/office/drawing/2014/main" id="{00000000-0008-0000-0300-00006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4" name="Picture 385" descr="http://www.vcgr.vic.gov.au/icons/ecblank.gif">
          <a:extLst>
            <a:ext uri="{FF2B5EF4-FFF2-40B4-BE49-F238E27FC236}">
              <a16:creationId xmlns:a16="http://schemas.microsoft.com/office/drawing/2014/main" id="{00000000-0008-0000-0300-00006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5" name="Picture 386" descr="http://www.vcgr.vic.gov.au/icons/ecblank.gif">
          <a:extLst>
            <a:ext uri="{FF2B5EF4-FFF2-40B4-BE49-F238E27FC236}">
              <a16:creationId xmlns:a16="http://schemas.microsoft.com/office/drawing/2014/main" id="{00000000-0008-0000-0300-00006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6" name="Picture 387" descr="http://www.vcgr.vic.gov.au/icons/ecblank.gif">
          <a:extLst>
            <a:ext uri="{FF2B5EF4-FFF2-40B4-BE49-F238E27FC236}">
              <a16:creationId xmlns:a16="http://schemas.microsoft.com/office/drawing/2014/main" id="{00000000-0008-0000-0300-00006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7" name="Picture 388" descr="http://www.vcgr.vic.gov.au/icons/ecblank.gif">
          <a:extLst>
            <a:ext uri="{FF2B5EF4-FFF2-40B4-BE49-F238E27FC236}">
              <a16:creationId xmlns:a16="http://schemas.microsoft.com/office/drawing/2014/main" id="{00000000-0008-0000-0300-00006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8" name="Picture 389" descr="http://www.vcgr.vic.gov.au/icons/ecblank.gif">
          <a:extLst>
            <a:ext uri="{FF2B5EF4-FFF2-40B4-BE49-F238E27FC236}">
              <a16:creationId xmlns:a16="http://schemas.microsoft.com/office/drawing/2014/main" id="{00000000-0008-0000-0300-00007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9" name="Picture 390" descr="http://www.vcgr.vic.gov.au/icons/ecblank.gif">
          <a:extLst>
            <a:ext uri="{FF2B5EF4-FFF2-40B4-BE49-F238E27FC236}">
              <a16:creationId xmlns:a16="http://schemas.microsoft.com/office/drawing/2014/main" id="{00000000-0008-0000-0300-00007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0" name="Picture 391" descr="http://www.vcgr.vic.gov.au/icons/ecblank.gif">
          <a:extLst>
            <a:ext uri="{FF2B5EF4-FFF2-40B4-BE49-F238E27FC236}">
              <a16:creationId xmlns:a16="http://schemas.microsoft.com/office/drawing/2014/main" id="{00000000-0008-0000-0300-00007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1" name="Picture 392" descr="http://www.vcgr.vic.gov.au/icons/ecblank.gif">
          <a:extLst>
            <a:ext uri="{FF2B5EF4-FFF2-40B4-BE49-F238E27FC236}">
              <a16:creationId xmlns:a16="http://schemas.microsoft.com/office/drawing/2014/main" id="{00000000-0008-0000-0300-00007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2" name="Picture 393" descr="http://www.vcgr.vic.gov.au/icons/ecblank.gif">
          <a:extLst>
            <a:ext uri="{FF2B5EF4-FFF2-40B4-BE49-F238E27FC236}">
              <a16:creationId xmlns:a16="http://schemas.microsoft.com/office/drawing/2014/main" id="{00000000-0008-0000-0300-00007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3" name="Picture 394" descr="http://www.vcgr.vic.gov.au/icons/ecblank.gif">
          <a:extLst>
            <a:ext uri="{FF2B5EF4-FFF2-40B4-BE49-F238E27FC236}">
              <a16:creationId xmlns:a16="http://schemas.microsoft.com/office/drawing/2014/main" id="{00000000-0008-0000-0300-00007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4" name="Picture 395" descr="http://www.vcgr.vic.gov.au/icons/ecblank.gif">
          <a:extLst>
            <a:ext uri="{FF2B5EF4-FFF2-40B4-BE49-F238E27FC236}">
              <a16:creationId xmlns:a16="http://schemas.microsoft.com/office/drawing/2014/main" id="{00000000-0008-0000-0300-00007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5" name="Picture 396" descr="http://www.vcgr.vic.gov.au/icons/ecblank.gif">
          <a:extLst>
            <a:ext uri="{FF2B5EF4-FFF2-40B4-BE49-F238E27FC236}">
              <a16:creationId xmlns:a16="http://schemas.microsoft.com/office/drawing/2014/main" id="{00000000-0008-0000-0300-00007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36" name="Picture 397" descr="http://www.vcgr.vic.gov.au/icons/ecblank.gif">
          <a:extLst>
            <a:ext uri="{FF2B5EF4-FFF2-40B4-BE49-F238E27FC236}">
              <a16:creationId xmlns:a16="http://schemas.microsoft.com/office/drawing/2014/main" id="{00000000-0008-0000-0300-00007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37" name="Picture 398" descr="http://www.vcgr.vic.gov.au/icons/ecblank.gif">
          <a:extLst>
            <a:ext uri="{FF2B5EF4-FFF2-40B4-BE49-F238E27FC236}">
              <a16:creationId xmlns:a16="http://schemas.microsoft.com/office/drawing/2014/main" id="{00000000-0008-0000-0300-00007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38" name="Picture 399" descr="http://www.vcgr.vic.gov.au/icons/ecblank.gif">
          <a:extLst>
            <a:ext uri="{FF2B5EF4-FFF2-40B4-BE49-F238E27FC236}">
              <a16:creationId xmlns:a16="http://schemas.microsoft.com/office/drawing/2014/main" id="{00000000-0008-0000-0300-00007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39" name="Picture 400" descr="http://www.vcgr.vic.gov.au/icons/ecblank.gif">
          <a:extLst>
            <a:ext uri="{FF2B5EF4-FFF2-40B4-BE49-F238E27FC236}">
              <a16:creationId xmlns:a16="http://schemas.microsoft.com/office/drawing/2014/main" id="{00000000-0008-0000-0300-00007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0" name="Picture 401" descr="http://www.vcgr.vic.gov.au/icons/ecblank.gif">
          <a:extLst>
            <a:ext uri="{FF2B5EF4-FFF2-40B4-BE49-F238E27FC236}">
              <a16:creationId xmlns:a16="http://schemas.microsoft.com/office/drawing/2014/main" id="{00000000-0008-0000-0300-00007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1" name="Picture 402" descr="http://www.vcgr.vic.gov.au/icons/ecblank.gif">
          <a:extLst>
            <a:ext uri="{FF2B5EF4-FFF2-40B4-BE49-F238E27FC236}">
              <a16:creationId xmlns:a16="http://schemas.microsoft.com/office/drawing/2014/main" id="{00000000-0008-0000-0300-00007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2" name="Picture 403" descr="http://www.vcgr.vic.gov.au/icons/ecblank.gif">
          <a:extLst>
            <a:ext uri="{FF2B5EF4-FFF2-40B4-BE49-F238E27FC236}">
              <a16:creationId xmlns:a16="http://schemas.microsoft.com/office/drawing/2014/main" id="{00000000-0008-0000-0300-00007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3" name="Picture 404" descr="http://www.vcgr.vic.gov.au/icons/ecblank.gif">
          <a:extLst>
            <a:ext uri="{FF2B5EF4-FFF2-40B4-BE49-F238E27FC236}">
              <a16:creationId xmlns:a16="http://schemas.microsoft.com/office/drawing/2014/main" id="{00000000-0008-0000-0300-00007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4" name="Picture 405" descr="http://www.vcgr.vic.gov.au/icons/ecblank.gif">
          <a:extLst>
            <a:ext uri="{FF2B5EF4-FFF2-40B4-BE49-F238E27FC236}">
              <a16:creationId xmlns:a16="http://schemas.microsoft.com/office/drawing/2014/main" id="{00000000-0008-0000-0300-00008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5" name="Picture 406" descr="http://www.vcgr.vic.gov.au/icons/ecblank.gif">
          <a:extLst>
            <a:ext uri="{FF2B5EF4-FFF2-40B4-BE49-F238E27FC236}">
              <a16:creationId xmlns:a16="http://schemas.microsoft.com/office/drawing/2014/main" id="{00000000-0008-0000-0300-00008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6" name="Picture 407" descr="http://www.vcgr.vic.gov.au/icons/ecblank.gif">
          <a:extLst>
            <a:ext uri="{FF2B5EF4-FFF2-40B4-BE49-F238E27FC236}">
              <a16:creationId xmlns:a16="http://schemas.microsoft.com/office/drawing/2014/main" id="{00000000-0008-0000-0300-00008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7" name="Picture 408" descr="http://www.vcgr.vic.gov.au/icons/ecblank.gif">
          <a:extLst>
            <a:ext uri="{FF2B5EF4-FFF2-40B4-BE49-F238E27FC236}">
              <a16:creationId xmlns:a16="http://schemas.microsoft.com/office/drawing/2014/main" id="{00000000-0008-0000-0300-00008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48" name="Picture 409" descr="http://www.vcgr.vic.gov.au/icons/ecblank.gif">
          <a:extLst>
            <a:ext uri="{FF2B5EF4-FFF2-40B4-BE49-F238E27FC236}">
              <a16:creationId xmlns:a16="http://schemas.microsoft.com/office/drawing/2014/main" id="{00000000-0008-0000-0300-00008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49" name="Picture 410" descr="http://www.vcgr.vic.gov.au/icons/ecblank.gif">
          <a:extLst>
            <a:ext uri="{FF2B5EF4-FFF2-40B4-BE49-F238E27FC236}">
              <a16:creationId xmlns:a16="http://schemas.microsoft.com/office/drawing/2014/main" id="{00000000-0008-0000-0300-00008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0" name="Picture 411" descr="http://www.vcgr.vic.gov.au/icons/ecblank.gif">
          <a:extLst>
            <a:ext uri="{FF2B5EF4-FFF2-40B4-BE49-F238E27FC236}">
              <a16:creationId xmlns:a16="http://schemas.microsoft.com/office/drawing/2014/main" id="{00000000-0008-0000-0300-00008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1" name="Picture 412" descr="http://www.vcgr.vic.gov.au/icons/ecblank.gif">
          <a:extLst>
            <a:ext uri="{FF2B5EF4-FFF2-40B4-BE49-F238E27FC236}">
              <a16:creationId xmlns:a16="http://schemas.microsoft.com/office/drawing/2014/main" id="{00000000-0008-0000-0300-00008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2" name="Picture 413" descr="http://www.vcgr.vic.gov.au/icons/ecblank.gif">
          <a:extLst>
            <a:ext uri="{FF2B5EF4-FFF2-40B4-BE49-F238E27FC236}">
              <a16:creationId xmlns:a16="http://schemas.microsoft.com/office/drawing/2014/main" id="{00000000-0008-0000-0300-00008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3" name="Picture 414" descr="http://www.vcgr.vic.gov.au/icons/ecblank.gif">
          <a:extLst>
            <a:ext uri="{FF2B5EF4-FFF2-40B4-BE49-F238E27FC236}">
              <a16:creationId xmlns:a16="http://schemas.microsoft.com/office/drawing/2014/main" id="{00000000-0008-0000-0300-00008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4" name="Picture 415" descr="http://www.vcgr.vic.gov.au/icons/ecblank.gif">
          <a:extLst>
            <a:ext uri="{FF2B5EF4-FFF2-40B4-BE49-F238E27FC236}">
              <a16:creationId xmlns:a16="http://schemas.microsoft.com/office/drawing/2014/main" id="{00000000-0008-0000-0300-00008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5" name="Picture 416" descr="http://www.vcgr.vic.gov.au/icons/ecblank.gif">
          <a:extLst>
            <a:ext uri="{FF2B5EF4-FFF2-40B4-BE49-F238E27FC236}">
              <a16:creationId xmlns:a16="http://schemas.microsoft.com/office/drawing/2014/main" id="{00000000-0008-0000-0300-00008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6" name="Picture 417" descr="http://www.vcgr.vic.gov.au/icons/ecblank.gif">
          <a:extLst>
            <a:ext uri="{FF2B5EF4-FFF2-40B4-BE49-F238E27FC236}">
              <a16:creationId xmlns:a16="http://schemas.microsoft.com/office/drawing/2014/main" id="{00000000-0008-0000-0300-00008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7" name="Picture 418" descr="http://www.vcgr.vic.gov.au/icons/ecblank.gif">
          <a:extLst>
            <a:ext uri="{FF2B5EF4-FFF2-40B4-BE49-F238E27FC236}">
              <a16:creationId xmlns:a16="http://schemas.microsoft.com/office/drawing/2014/main" id="{00000000-0008-0000-0300-00008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8" name="Picture 419" descr="http://www.vcgr.vic.gov.au/icons/ecblank.gif">
          <a:extLst>
            <a:ext uri="{FF2B5EF4-FFF2-40B4-BE49-F238E27FC236}">
              <a16:creationId xmlns:a16="http://schemas.microsoft.com/office/drawing/2014/main" id="{00000000-0008-0000-0300-00008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9" name="Picture 420" descr="http://www.vcgr.vic.gov.au/icons/ecblank.gif">
          <a:extLst>
            <a:ext uri="{FF2B5EF4-FFF2-40B4-BE49-F238E27FC236}">
              <a16:creationId xmlns:a16="http://schemas.microsoft.com/office/drawing/2014/main" id="{00000000-0008-0000-0300-00008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6</xdr:row>
      <xdr:rowOff>47625</xdr:rowOff>
    </xdr:from>
    <xdr:to>
      <xdr:col>9</xdr:col>
      <xdr:colOff>504825</xdr:colOff>
      <xdr:row>68</xdr:row>
      <xdr:rowOff>38100</xdr:rowOff>
    </xdr:to>
    <xdr:graphicFrame macro="">
      <xdr:nvGraphicFramePr>
        <xdr:cNvPr id="236666" name="Chart 1">
          <a:extLst>
            <a:ext uri="{FF2B5EF4-FFF2-40B4-BE49-F238E27FC236}">
              <a16:creationId xmlns:a16="http://schemas.microsoft.com/office/drawing/2014/main" id="{00000000-0008-0000-04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257174</xdr:colOff>
      <xdr:row>5</xdr:row>
      <xdr:rowOff>161924</xdr:rowOff>
    </xdr:to>
    <xdr:pic>
      <xdr:nvPicPr>
        <xdr:cNvPr id="4" name="Picture 3" descr="Gambling machine 3.jpg">
          <a:extLst>
            <a:ext uri="{FF2B5EF4-FFF2-40B4-BE49-F238E27FC236}">
              <a16:creationId xmlns:a16="http://schemas.microsoft.com/office/drawing/2014/main" id="{00000000-0008-0000-04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352425</xdr:colOff>
          <xdr:row>4</xdr:row>
          <xdr:rowOff>66675</xdr:rowOff>
        </xdr:from>
        <xdr:to>
          <xdr:col>5</xdr:col>
          <xdr:colOff>352425</xdr:colOff>
          <xdr:row>6</xdr:row>
          <xdr:rowOff>9525</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4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5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5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5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5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5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5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5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5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5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5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5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5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5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5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5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5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5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5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5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5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5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5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5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5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5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5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5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5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5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5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5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5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5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5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5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5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5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5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5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5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5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5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5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5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5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5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5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5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5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5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5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5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5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5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5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5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5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5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5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5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5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5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5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5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5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5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5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5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5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5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5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5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5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5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5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5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5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5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5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5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5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5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5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5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5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5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5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5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5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5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5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5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5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5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5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5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5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5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5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5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5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5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5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5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5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5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5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5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5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5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5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5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5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5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5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5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5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5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5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5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5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5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5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5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5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5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5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5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5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5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5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5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5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5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5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5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5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5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5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5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5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5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5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5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5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5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5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5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5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5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5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5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5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5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5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5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5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5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5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5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5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5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5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5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5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5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5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5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5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5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5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5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5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5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5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5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5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5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5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5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5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5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5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5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5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5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5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5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5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5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5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5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5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5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5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5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5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5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5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5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5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5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5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5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5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5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5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5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5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5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5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5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5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5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5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5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5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5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5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5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5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5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5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5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5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5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5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5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5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5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5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5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5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5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5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5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5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5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5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5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5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5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5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5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5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5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5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5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5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5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5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5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5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5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5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5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5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5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5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5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5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5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5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5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5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5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5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5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5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5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5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5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5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5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5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5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5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5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5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5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5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5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5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5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5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5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5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5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5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5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5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5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5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5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5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5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5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5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5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5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5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5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5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5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5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5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5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5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5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5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5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5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5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5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5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5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5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5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5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5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5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5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5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5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5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5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5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5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5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5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5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5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5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5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5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5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5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5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5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5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5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5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5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5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5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5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5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5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5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5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5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5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5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5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5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5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5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5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5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5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5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5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5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5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5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5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5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5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5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5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5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5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5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5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5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5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5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5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5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5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5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5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5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5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xdr:rowOff>
    </xdr:from>
    <xdr:to>
      <xdr:col>13</xdr:col>
      <xdr:colOff>0</xdr:colOff>
      <xdr:row>1</xdr:row>
      <xdr:rowOff>1</xdr:rowOff>
    </xdr:to>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342900" y="1"/>
          <a:ext cx="81153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600" b="0" i="0" u="none" strike="noStrike" baseline="0">
              <a:solidFill>
                <a:srgbClr val="003366"/>
              </a:solidFill>
              <a:latin typeface="Palatino Linotype" pitchFamily="18" charset="0"/>
            </a:rPr>
            <a:t>VENUE STATISTICS: Region, LGA, Type, EGMs &amp; Losses</a:t>
          </a:r>
        </a:p>
      </xdr:txBody>
    </xdr:sp>
    <xdr:clientData/>
  </xdr:twoCellAnchor>
  <xdr:twoCellAnchor editAs="oneCell">
    <xdr:from>
      <xdr:col>0</xdr:col>
      <xdr:colOff>0</xdr:colOff>
      <xdr:row>0</xdr:row>
      <xdr:rowOff>0</xdr:rowOff>
    </xdr:from>
    <xdr:to>
      <xdr:col>1</xdr:col>
      <xdr:colOff>1205638</xdr:colOff>
      <xdr:row>4</xdr:row>
      <xdr:rowOff>2700</xdr:rowOff>
    </xdr:to>
    <xdr:pic>
      <xdr:nvPicPr>
        <xdr:cNvPr id="4" name="Picture 3" descr="whirlpool of money.jpg">
          <a:extLst>
            <a:ext uri="{FF2B5EF4-FFF2-40B4-BE49-F238E27FC236}">
              <a16:creationId xmlns:a16="http://schemas.microsoft.com/office/drawing/2014/main" id="{00000000-0008-0000-0600-000004000000}"/>
            </a:ext>
          </a:extLst>
        </xdr:cNvPr>
        <xdr:cNvPicPr>
          <a:picLocks/>
        </xdr:cNvPicPr>
      </xdr:nvPicPr>
      <xdr:blipFill>
        <a:blip xmlns:r="http://schemas.openxmlformats.org/officeDocument/2006/relationships" r:embed="rId1" cstate="print"/>
        <a:stretch>
          <a:fillRect/>
        </a:stretch>
      </xdr:blipFill>
      <xdr:spPr>
        <a:xfrm>
          <a:off x="0" y="0"/>
          <a:ext cx="1205638" cy="81665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694789</xdr:colOff>
      <xdr:row>7</xdr:row>
      <xdr:rowOff>32889</xdr:rowOff>
    </xdr:from>
    <xdr:to>
      <xdr:col>12</xdr:col>
      <xdr:colOff>419033</xdr:colOff>
      <xdr:row>34</xdr:row>
      <xdr:rowOff>112568</xdr:rowOff>
    </xdr:to>
    <xdr:graphicFrame macro="">
      <xdr:nvGraphicFramePr>
        <xdr:cNvPr id="348213" name="Chart 5">
          <a:extLst>
            <a:ext uri="{FF2B5EF4-FFF2-40B4-BE49-F238E27FC236}">
              <a16:creationId xmlns:a16="http://schemas.microsoft.com/office/drawing/2014/main" id="{00000000-0008-0000-0800-000035500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208643</xdr:colOff>
      <xdr:row>7</xdr:row>
      <xdr:rowOff>57452</xdr:rowOff>
    </xdr:from>
    <xdr:to>
      <xdr:col>6</xdr:col>
      <xdr:colOff>517072</xdr:colOff>
      <xdr:row>34</xdr:row>
      <xdr:rowOff>112568</xdr:rowOff>
    </xdr:to>
    <xdr:graphicFrame macro="">
      <xdr:nvGraphicFramePr>
        <xdr:cNvPr id="348214" name="Chart 3">
          <a:extLst>
            <a:ext uri="{FF2B5EF4-FFF2-40B4-BE49-F238E27FC236}">
              <a16:creationId xmlns:a16="http://schemas.microsoft.com/office/drawing/2014/main" id="{00000000-0008-0000-0800-000036500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11</xdr:col>
      <xdr:colOff>10583</xdr:colOff>
      <xdr:row>0</xdr:row>
      <xdr:rowOff>361950</xdr:rowOff>
    </xdr:to>
    <xdr:sp macro="" textlink="">
      <xdr:nvSpPr>
        <xdr:cNvPr id="4" name="Text Box 2">
          <a:extLst>
            <a:ext uri="{FF2B5EF4-FFF2-40B4-BE49-F238E27FC236}">
              <a16:creationId xmlns:a16="http://schemas.microsoft.com/office/drawing/2014/main" id="{00000000-0008-0000-0800-000004000000}"/>
            </a:ext>
          </a:extLst>
        </xdr:cNvPr>
        <xdr:cNvSpPr txBox="1">
          <a:spLocks noChangeArrowheads="1"/>
        </xdr:cNvSpPr>
      </xdr:nvSpPr>
      <xdr:spPr bwMode="auto">
        <a:xfrm>
          <a:off x="0" y="0"/>
          <a:ext cx="993775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600" b="0" i="0" u="none" strike="noStrike" baseline="0">
              <a:solidFill>
                <a:srgbClr val="003366"/>
              </a:solidFill>
              <a:latin typeface="Palatino Linotype" pitchFamily="18" charset="0"/>
            </a:rPr>
            <a:t>CORRELATIONS: Social Disadvantage, and EGM Losses or Density</a:t>
          </a:r>
        </a:p>
      </xdr:txBody>
    </xdr:sp>
    <xdr:clientData/>
  </xdr:twoCellAnchor>
  <xdr:twoCellAnchor editAs="oneCell">
    <xdr:from>
      <xdr:col>0</xdr:col>
      <xdr:colOff>8659</xdr:colOff>
      <xdr:row>0</xdr:row>
      <xdr:rowOff>8659</xdr:rowOff>
    </xdr:from>
    <xdr:to>
      <xdr:col>2</xdr:col>
      <xdr:colOff>207818</xdr:colOff>
      <xdr:row>4</xdr:row>
      <xdr:rowOff>144238</xdr:rowOff>
    </xdr:to>
    <xdr:pic>
      <xdr:nvPicPr>
        <xdr:cNvPr id="6" name="Picture 5" descr="Gaming Machine 2.jpg">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3" cstate="print"/>
        <a:stretch>
          <a:fillRect/>
        </a:stretch>
      </xdr:blipFill>
      <xdr:spPr>
        <a:xfrm>
          <a:off x="8659" y="8659"/>
          <a:ext cx="1238250" cy="897579"/>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2</xdr:col>
          <xdr:colOff>209550</xdr:colOff>
          <xdr:row>3</xdr:row>
          <xdr:rowOff>95250</xdr:rowOff>
        </xdr:from>
        <xdr:to>
          <xdr:col>5</xdr:col>
          <xdr:colOff>781050</xdr:colOff>
          <xdr:row>5</xdr:row>
          <xdr:rowOff>0</xdr:rowOff>
        </xdr:to>
        <xdr:sp macro="" textlink="">
          <xdr:nvSpPr>
            <xdr:cNvPr id="348161" name="Drop Down 1" hidden="1">
              <a:extLst>
                <a:ext uri="{63B3BB69-23CF-44E3-9099-C40C66FF867C}">
                  <a14:compatExt spid="_x0000_s348161"/>
                </a:ext>
                <a:ext uri="{FF2B5EF4-FFF2-40B4-BE49-F238E27FC236}">
                  <a16:creationId xmlns:a16="http://schemas.microsoft.com/office/drawing/2014/main" id="{00000000-0008-0000-0800-00000150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4</xdr:col>
      <xdr:colOff>597478</xdr:colOff>
      <xdr:row>9</xdr:row>
      <xdr:rowOff>23811</xdr:rowOff>
    </xdr:from>
    <xdr:to>
      <xdr:col>14</xdr:col>
      <xdr:colOff>571500</xdr:colOff>
      <xdr:row>38</xdr:row>
      <xdr:rowOff>142875</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23</xdr:col>
      <xdr:colOff>50220</xdr:colOff>
      <xdr:row>5</xdr:row>
      <xdr:rowOff>33773</xdr:rowOff>
    </xdr:from>
    <xdr:to>
      <xdr:col>32</xdr:col>
      <xdr:colOff>535131</xdr:colOff>
      <xdr:row>38</xdr:row>
      <xdr:rowOff>142876</xdr:rowOff>
    </xdr:to>
    <xdr:graphicFrame macro="">
      <xdr:nvGraphicFramePr>
        <xdr:cNvPr id="12" name="Chart 11">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885825</xdr:colOff>
          <xdr:row>2</xdr:row>
          <xdr:rowOff>142875</xdr:rowOff>
        </xdr:from>
        <xdr:to>
          <xdr:col>5</xdr:col>
          <xdr:colOff>571500</xdr:colOff>
          <xdr:row>4</xdr:row>
          <xdr:rowOff>66675</xdr:rowOff>
        </xdr:to>
        <xdr:sp macro="" textlink="">
          <xdr:nvSpPr>
            <xdr:cNvPr id="422913" name="Drop Down 1" hidden="1">
              <a:extLst>
                <a:ext uri="{63B3BB69-23CF-44E3-9099-C40C66FF867C}">
                  <a14:compatExt spid="_x0000_s422913"/>
                </a:ext>
                <a:ext uri="{FF2B5EF4-FFF2-40B4-BE49-F238E27FC236}">
                  <a16:creationId xmlns:a16="http://schemas.microsoft.com/office/drawing/2014/main" id="{00000000-0008-0000-0A00-000001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885825</xdr:colOff>
          <xdr:row>4</xdr:row>
          <xdr:rowOff>152400</xdr:rowOff>
        </xdr:from>
        <xdr:to>
          <xdr:col>5</xdr:col>
          <xdr:colOff>571500</xdr:colOff>
          <xdr:row>6</xdr:row>
          <xdr:rowOff>66675</xdr:rowOff>
        </xdr:to>
        <xdr:sp macro="" textlink="">
          <xdr:nvSpPr>
            <xdr:cNvPr id="422914" name="Drop Down 2" hidden="1">
              <a:extLst>
                <a:ext uri="{63B3BB69-23CF-44E3-9099-C40C66FF867C}">
                  <a14:compatExt spid="_x0000_s422914"/>
                </a:ext>
                <a:ext uri="{FF2B5EF4-FFF2-40B4-BE49-F238E27FC236}">
                  <a16:creationId xmlns:a16="http://schemas.microsoft.com/office/drawing/2014/main" id="{00000000-0008-0000-0A00-000002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885825</xdr:colOff>
          <xdr:row>6</xdr:row>
          <xdr:rowOff>123825</xdr:rowOff>
        </xdr:from>
        <xdr:to>
          <xdr:col>5</xdr:col>
          <xdr:colOff>723900</xdr:colOff>
          <xdr:row>8</xdr:row>
          <xdr:rowOff>28575</xdr:rowOff>
        </xdr:to>
        <xdr:sp macro="" textlink="">
          <xdr:nvSpPr>
            <xdr:cNvPr id="422915" name="Drop Down 3" hidden="1">
              <a:extLst>
                <a:ext uri="{63B3BB69-23CF-44E3-9099-C40C66FF867C}">
                  <a14:compatExt spid="_x0000_s422915"/>
                </a:ext>
                <a:ext uri="{FF2B5EF4-FFF2-40B4-BE49-F238E27FC236}">
                  <a16:creationId xmlns:a16="http://schemas.microsoft.com/office/drawing/2014/main" id="{00000000-0008-0000-0A00-000003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3</xdr:row>
          <xdr:rowOff>0</xdr:rowOff>
        </xdr:from>
        <xdr:to>
          <xdr:col>9</xdr:col>
          <xdr:colOff>600075</xdr:colOff>
          <xdr:row>4</xdr:row>
          <xdr:rowOff>28575</xdr:rowOff>
        </xdr:to>
        <xdr:sp macro="" textlink="">
          <xdr:nvSpPr>
            <xdr:cNvPr id="422916" name="Drop Down 4" hidden="1">
              <a:extLst>
                <a:ext uri="{63B3BB69-23CF-44E3-9099-C40C66FF867C}">
                  <a14:compatExt spid="_x0000_s422916"/>
                </a:ext>
                <a:ext uri="{FF2B5EF4-FFF2-40B4-BE49-F238E27FC236}">
                  <a16:creationId xmlns:a16="http://schemas.microsoft.com/office/drawing/2014/main" id="{00000000-0008-0000-0A00-000004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5</xdr:row>
          <xdr:rowOff>9525</xdr:rowOff>
        </xdr:from>
        <xdr:to>
          <xdr:col>10</xdr:col>
          <xdr:colOff>0</xdr:colOff>
          <xdr:row>6</xdr:row>
          <xdr:rowOff>28575</xdr:rowOff>
        </xdr:to>
        <xdr:sp macro="" textlink="">
          <xdr:nvSpPr>
            <xdr:cNvPr id="422917" name="Drop Down 5" hidden="1">
              <a:extLst>
                <a:ext uri="{63B3BB69-23CF-44E3-9099-C40C66FF867C}">
                  <a14:compatExt spid="_x0000_s422917"/>
                </a:ext>
                <a:ext uri="{FF2B5EF4-FFF2-40B4-BE49-F238E27FC236}">
                  <a16:creationId xmlns:a16="http://schemas.microsoft.com/office/drawing/2014/main" id="{00000000-0008-0000-0A00-000005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xdr:row>
          <xdr:rowOff>0</xdr:rowOff>
        </xdr:from>
        <xdr:to>
          <xdr:col>25</xdr:col>
          <xdr:colOff>123825</xdr:colOff>
          <xdr:row>3</xdr:row>
          <xdr:rowOff>28575</xdr:rowOff>
        </xdr:to>
        <xdr:sp macro="" textlink="">
          <xdr:nvSpPr>
            <xdr:cNvPr id="422918" name="Drop Down 6" hidden="1">
              <a:extLst>
                <a:ext uri="{63B3BB69-23CF-44E3-9099-C40C66FF867C}">
                  <a14:compatExt spid="_x0000_s422918"/>
                </a:ext>
                <a:ext uri="{FF2B5EF4-FFF2-40B4-BE49-F238E27FC236}">
                  <a16:creationId xmlns:a16="http://schemas.microsoft.com/office/drawing/2014/main" id="{00000000-0008-0000-0A00-000006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xdr:row>
          <xdr:rowOff>0</xdr:rowOff>
        </xdr:from>
        <xdr:to>
          <xdr:col>27</xdr:col>
          <xdr:colOff>66675</xdr:colOff>
          <xdr:row>3</xdr:row>
          <xdr:rowOff>19050</xdr:rowOff>
        </xdr:to>
        <xdr:sp macro="" textlink="">
          <xdr:nvSpPr>
            <xdr:cNvPr id="422919" name="Drop Down 7" hidden="1">
              <a:extLst>
                <a:ext uri="{63B3BB69-23CF-44E3-9099-C40C66FF867C}">
                  <a14:compatExt spid="_x0000_s422919"/>
                </a:ext>
                <a:ext uri="{FF2B5EF4-FFF2-40B4-BE49-F238E27FC236}">
                  <a16:creationId xmlns:a16="http://schemas.microsoft.com/office/drawing/2014/main" id="{00000000-0008-0000-0A00-000007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600075</xdr:colOff>
          <xdr:row>3</xdr:row>
          <xdr:rowOff>123825</xdr:rowOff>
        </xdr:from>
        <xdr:to>
          <xdr:col>30</xdr:col>
          <xdr:colOff>352425</xdr:colOff>
          <xdr:row>5</xdr:row>
          <xdr:rowOff>0</xdr:rowOff>
        </xdr:to>
        <xdr:sp macro="" textlink="">
          <xdr:nvSpPr>
            <xdr:cNvPr id="422920" name="Drop Down 8" hidden="1">
              <a:extLst>
                <a:ext uri="{63B3BB69-23CF-44E3-9099-C40C66FF867C}">
                  <a14:compatExt spid="_x0000_s422920"/>
                </a:ext>
                <a:ext uri="{FF2B5EF4-FFF2-40B4-BE49-F238E27FC236}">
                  <a16:creationId xmlns:a16="http://schemas.microsoft.com/office/drawing/2014/main" id="{00000000-0008-0000-0A00-000008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600075</xdr:colOff>
          <xdr:row>1</xdr:row>
          <xdr:rowOff>152400</xdr:rowOff>
        </xdr:from>
        <xdr:to>
          <xdr:col>30</xdr:col>
          <xdr:colOff>95250</xdr:colOff>
          <xdr:row>2</xdr:row>
          <xdr:rowOff>152400</xdr:rowOff>
        </xdr:to>
        <xdr:sp macro="" textlink="">
          <xdr:nvSpPr>
            <xdr:cNvPr id="422921" name="Drop Down 9" hidden="1">
              <a:extLst>
                <a:ext uri="{63B3BB69-23CF-44E3-9099-C40C66FF867C}">
                  <a14:compatExt spid="_x0000_s422921"/>
                </a:ext>
                <a:ext uri="{FF2B5EF4-FFF2-40B4-BE49-F238E27FC236}">
                  <a16:creationId xmlns:a16="http://schemas.microsoft.com/office/drawing/2014/main" id="{00000000-0008-0000-0A00-000009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5.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17" Type="http://schemas.openxmlformats.org/officeDocument/2006/relationships/hyperlink" Target="http://www.vcgr.vic.gov.au/CA2570C30016EEF3/wListOfVenues/E037E16291C7DCDACA257C690082F872?Open" TargetMode="External"/><Relationship Id="rId299" Type="http://schemas.openxmlformats.org/officeDocument/2006/relationships/hyperlink" Target="http://www.vcgr.vic.gov.au/CA2570C30016EEF3/wListOfVenues/376ADE3C441B2D76CA257C690082F898?Open" TargetMode="External"/><Relationship Id="rId21" Type="http://schemas.openxmlformats.org/officeDocument/2006/relationships/hyperlink" Target="http://www.vcgr.vic.gov.au/CA2570C30016EEF3/wListOfVenues/A73A44485C42F3E3CA257C690082F9E1?Open" TargetMode="External"/><Relationship Id="rId63" Type="http://schemas.openxmlformats.org/officeDocument/2006/relationships/hyperlink" Target="http://www.vcgr.vic.gov.au/CA2570C30016EEF3/wListOfVenues/8362D44324D1E8EECA257C690082F879?Open" TargetMode="External"/><Relationship Id="rId159" Type="http://schemas.openxmlformats.org/officeDocument/2006/relationships/hyperlink" Target="http://www.vcgr.vic.gov.au/CA2570C30016EEF3/wListOfVenues/7668ECA649010A7FCA257C690082F8B9?Open" TargetMode="External"/><Relationship Id="rId324" Type="http://schemas.openxmlformats.org/officeDocument/2006/relationships/hyperlink" Target="http://www.vcgr.vic.gov.au/CA2570C30016EEF3/wListOfVenues/1A0E287E6B879021CA257C690082F807?Open" TargetMode="External"/><Relationship Id="rId366" Type="http://schemas.openxmlformats.org/officeDocument/2006/relationships/hyperlink" Target="http://www.vcgr.vic.gov.au/CA2570C30016EEF3/wListOfVenues/4EA2F9F5FD0FDB7ACA257C690082F944?Open" TargetMode="External"/><Relationship Id="rId531" Type="http://schemas.openxmlformats.org/officeDocument/2006/relationships/hyperlink" Target="http://www.vcgr.vic.gov.au/CA2570C30016EEF3/wListOfVenues/1551C8CB427C711ECA257C690082F88D?Open" TargetMode="External"/><Relationship Id="rId170" Type="http://schemas.openxmlformats.org/officeDocument/2006/relationships/hyperlink" Target="http://www.vcgr.vic.gov.au/CA2570C30016EEF3/wListOfVenues/9AE6559A4ED0B9AACA257C690082F998?Open" TargetMode="External"/><Relationship Id="rId226" Type="http://schemas.openxmlformats.org/officeDocument/2006/relationships/hyperlink" Target="http://www.vcgr.vic.gov.au/CA2570C30016EEF3/wListOfVenues/5E2C9CBD1C193166CA257C690082F9EF?Open" TargetMode="External"/><Relationship Id="rId433" Type="http://schemas.openxmlformats.org/officeDocument/2006/relationships/hyperlink" Target="http://www.vcgr.vic.gov.au/CA2570C30016EEF3/wListOfVenues/1682E72C5E6005AFCA257C690082F908?Open" TargetMode="External"/><Relationship Id="rId268" Type="http://schemas.openxmlformats.org/officeDocument/2006/relationships/hyperlink" Target="http://www.vcgr.vic.gov.au/CA2570C30016EEF3/wListOfVenues/D0866B84863F921CCA257C690082F966?Open" TargetMode="External"/><Relationship Id="rId475" Type="http://schemas.openxmlformats.org/officeDocument/2006/relationships/hyperlink" Target="http://www.vcgr.vic.gov.au/CA2570C30016EEF3/wListOfVenues/08880CFD9B813E6ECA257C690082F87A?Open" TargetMode="External"/><Relationship Id="rId32" Type="http://schemas.openxmlformats.org/officeDocument/2006/relationships/hyperlink" Target="http://www.vcgr.vic.gov.au/CA2570C30016EEF3/wListOfVenues/EDA9D53BD8143CE1CA257C690082F860?Open" TargetMode="External"/><Relationship Id="rId74" Type="http://schemas.openxmlformats.org/officeDocument/2006/relationships/hyperlink" Target="http://www.vcgr.vic.gov.au/CA2570C30016EEF3/wListOfVenues/A673CD9FF4204F3DCA257C690082F883?Open" TargetMode="External"/><Relationship Id="rId128" Type="http://schemas.openxmlformats.org/officeDocument/2006/relationships/hyperlink" Target="http://www.vcgr.vic.gov.au/CA2570C30016EEF3/wListOfVenues/DC812BDE7ACDA5B0CA257C690082F88C?Open" TargetMode="External"/><Relationship Id="rId335" Type="http://schemas.openxmlformats.org/officeDocument/2006/relationships/hyperlink" Target="http://www.vcgr.vic.gov.au/CA2570C30016EEF3/wListOfVenues/26E81857889B9627CA257C690082F852?Open" TargetMode="External"/><Relationship Id="rId377" Type="http://schemas.openxmlformats.org/officeDocument/2006/relationships/hyperlink" Target="http://www.vcgr.vic.gov.au/CA2570C30016EEF3/wListOfVenues/54090F1D9F3324ADCA257C690082F85C?Open" TargetMode="External"/><Relationship Id="rId500" Type="http://schemas.openxmlformats.org/officeDocument/2006/relationships/hyperlink" Target="http://www.vcgr.vic.gov.au/CA2570C30016EEF3/wListOfVenues/EF4DE615D743259CCA257C690082F914?Open" TargetMode="External"/><Relationship Id="rId542" Type="http://schemas.openxmlformats.org/officeDocument/2006/relationships/printerSettings" Target="../printerSettings/printerSettings3.bin"/><Relationship Id="rId5" Type="http://schemas.openxmlformats.org/officeDocument/2006/relationships/hyperlink" Target="http://www.vcgr.vic.gov.au/CA2570C30016EEF3/wListOfVenues/C3544A88A0EC1D57CA257C690082F7FB?Open" TargetMode="External"/><Relationship Id="rId181" Type="http://schemas.openxmlformats.org/officeDocument/2006/relationships/hyperlink" Target="http://www.vcgr.vic.gov.au/CA2570C30016EEF3/wListOfVenues/ACBDF5AD016252A9CA257C690082F84A?Open" TargetMode="External"/><Relationship Id="rId237" Type="http://schemas.openxmlformats.org/officeDocument/2006/relationships/hyperlink" Target="http://www.vcgr.vic.gov.au/CA2570C30016EEF3/wListOfVenues/BF534622A984E65ACA257C690082F9D9?Open" TargetMode="External"/><Relationship Id="rId402" Type="http://schemas.openxmlformats.org/officeDocument/2006/relationships/hyperlink" Target="http://www.vcgr.vic.gov.au/CA2570C30016EEF3/wListOfVenues/69524EE31D6F2C5BCA257C690082F81A?Open" TargetMode="External"/><Relationship Id="rId279" Type="http://schemas.openxmlformats.org/officeDocument/2006/relationships/hyperlink" Target="http://www.vcgr.vic.gov.au/CA2570C30016EEF3/wListOfVenues/1E6A3F1E8EA100AACA257C690082F9A3?Open" TargetMode="External"/><Relationship Id="rId444" Type="http://schemas.openxmlformats.org/officeDocument/2006/relationships/hyperlink" Target="http://www.vcgr.vic.gov.au/CA2570C30016EEF3/wListOfVenues/F033871AC88E62CBCA257C690082F9A4?Open" TargetMode="External"/><Relationship Id="rId486" Type="http://schemas.openxmlformats.org/officeDocument/2006/relationships/hyperlink" Target="http://www.vcgr.vic.gov.au/CA2570C30016EEF3/wListOfVenues/7A21AE5EE41FC6FDCA257C690082F975?Open" TargetMode="External"/><Relationship Id="rId43" Type="http://schemas.openxmlformats.org/officeDocument/2006/relationships/hyperlink" Target="http://www.vcgr.vic.gov.au/CA2570C30016EEF3/wListOfVenues/06E854408044DC27CA257C690082F869?Open" TargetMode="External"/><Relationship Id="rId139" Type="http://schemas.openxmlformats.org/officeDocument/2006/relationships/hyperlink" Target="http://www.vcgr.vic.gov.au/CA2570C30016EEF3/wListOfVenues/CF62D4E07F656C51CA257C690082F8DA?Open" TargetMode="External"/><Relationship Id="rId290" Type="http://schemas.openxmlformats.org/officeDocument/2006/relationships/hyperlink" Target="http://www.vcgr.vic.gov.au/CA2570C30016EEF3/wListOfVenues/363E1BB244E56EC6CA257C690082F93D?Open" TargetMode="External"/><Relationship Id="rId304" Type="http://schemas.openxmlformats.org/officeDocument/2006/relationships/hyperlink" Target="http://www.vcgr.vic.gov.au/CA2570C30016EEF3/wListOfVenues/3291112E7957627BCA257C690082F81B?Open" TargetMode="External"/><Relationship Id="rId346" Type="http://schemas.openxmlformats.org/officeDocument/2006/relationships/hyperlink" Target="http://www.vcgr.vic.gov.au/CA2570C30016EEF3/wListOfVenues/6E2766200B6E6D6ECA257C690082F856?Open" TargetMode="External"/><Relationship Id="rId388" Type="http://schemas.openxmlformats.org/officeDocument/2006/relationships/hyperlink" Target="http://www.vcgr.vic.gov.au/CA2570C30016EEF3/wListOfVenues/6471927C4ACA0B82CA257C690082F808?Open" TargetMode="External"/><Relationship Id="rId511" Type="http://schemas.openxmlformats.org/officeDocument/2006/relationships/hyperlink" Target="http://www.vcgr.vic.gov.au/CA2570C30016EEF3/wListOfVenues/229C4D72E9B147E6CA257C690082F820?Open" TargetMode="External"/><Relationship Id="rId85" Type="http://schemas.openxmlformats.org/officeDocument/2006/relationships/hyperlink" Target="http://www.vcgr.vic.gov.au/CA2570C30016EEF3/wListOfVenues/490955F22D168DAFCA257C690082F8A4?Open" TargetMode="External"/><Relationship Id="rId150" Type="http://schemas.openxmlformats.org/officeDocument/2006/relationships/hyperlink" Target="http://www.vcgr.vic.gov.au/CA2570C30016EEF3/wListOfVenues/2CBD0C95E106DEFACA257C690082F969?Open" TargetMode="External"/><Relationship Id="rId192" Type="http://schemas.openxmlformats.org/officeDocument/2006/relationships/hyperlink" Target="http://www.vcgr.vic.gov.au/CA2570C30016EEF3/wListOfVenues/93A5C23B074E607ACA257C690082F83B?Open" TargetMode="External"/><Relationship Id="rId206" Type="http://schemas.openxmlformats.org/officeDocument/2006/relationships/hyperlink" Target="http://www.vcgr.vic.gov.au/CA2570C30016EEF3/wListOfVenues/2BD8ADE127DBA175CA257C690082F90A?Open" TargetMode="External"/><Relationship Id="rId413" Type="http://schemas.openxmlformats.org/officeDocument/2006/relationships/hyperlink" Target="http://www.vcgr.vic.gov.au/CA2570C30016EEF3/wListOfVenues/11D58ED9121EEE18CA257C690082F819?Open" TargetMode="External"/><Relationship Id="rId248" Type="http://schemas.openxmlformats.org/officeDocument/2006/relationships/hyperlink" Target="http://www.vcgr.vic.gov.au/CA2570C30016EEF3/wListOfVenues/52E5372633A15C12CA257C690082F93F?Open" TargetMode="External"/><Relationship Id="rId455" Type="http://schemas.openxmlformats.org/officeDocument/2006/relationships/hyperlink" Target="http://www.vcgr.vic.gov.au/CA2570C30016EEF3/wListOfVenues/003340640529C158CA257C690082F9BA?Open" TargetMode="External"/><Relationship Id="rId497" Type="http://schemas.openxmlformats.org/officeDocument/2006/relationships/hyperlink" Target="http://www.vcgr.vic.gov.au/CA2570C30016EEF3/wListOfVenues/72914184E748EB4BCA257C690082F985?Open" TargetMode="External"/><Relationship Id="rId12" Type="http://schemas.openxmlformats.org/officeDocument/2006/relationships/hyperlink" Target="http://www.vcgr.vic.gov.au/CA2570C30016EEF3/wListOfVenues/B4C8D422E3ED1CBDCA257C690082F912?Open" TargetMode="External"/><Relationship Id="rId108" Type="http://schemas.openxmlformats.org/officeDocument/2006/relationships/hyperlink" Target="http://www.vcgr.vic.gov.au/CA2570C30016EEF3/wListOfVenues/D21AF0DD0DB0BF2CCA257C690082F7F0?Open" TargetMode="External"/><Relationship Id="rId315" Type="http://schemas.openxmlformats.org/officeDocument/2006/relationships/hyperlink" Target="http://www.vcgr.vic.gov.au/CA2570C30016EEF3/wListOfVenues/46945134F4A4FE6ECA257C690082F99A?Open" TargetMode="External"/><Relationship Id="rId357" Type="http://schemas.openxmlformats.org/officeDocument/2006/relationships/hyperlink" Target="http://www.vcgr.vic.gov.au/CA2570C30016EEF3/wListOfVenues/59A8AAA3D2D96416CA257C690082F855?Open" TargetMode="External"/><Relationship Id="rId522" Type="http://schemas.openxmlformats.org/officeDocument/2006/relationships/hyperlink" Target="http://www.vcgr.vic.gov.au/CA2570C30016EEF3/wListOfVenues/1817E179BC7F2107CA257C690082F89C?Open" TargetMode="External"/><Relationship Id="rId54" Type="http://schemas.openxmlformats.org/officeDocument/2006/relationships/hyperlink" Target="http://www.vcgr.vic.gov.au/CA2570C30016EEF3/wListOfVenues/2C74A57769FA7F1FCA257C690082F7F1?Open" TargetMode="External"/><Relationship Id="rId96" Type="http://schemas.openxmlformats.org/officeDocument/2006/relationships/hyperlink" Target="http://www.vcgr.vic.gov.au/CA2570C30016EEF3/wListOfVenues/87E06660D9B7348DCA257C690082F867?Open" TargetMode="External"/><Relationship Id="rId161" Type="http://schemas.openxmlformats.org/officeDocument/2006/relationships/hyperlink" Target="http://www.vcgr.vic.gov.au/CA2570C30016EEF3/wListOfVenues/9FFCB115B0982E2DCA257C690082F8DE?Open" TargetMode="External"/><Relationship Id="rId217" Type="http://schemas.openxmlformats.org/officeDocument/2006/relationships/hyperlink" Target="http://www.vcgr.vic.gov.au/CA2570C30016EEF3/wListOfVenues/33FB6E77BE8B5323CA257C690082F96B?Open" TargetMode="External"/><Relationship Id="rId399" Type="http://schemas.openxmlformats.org/officeDocument/2006/relationships/hyperlink" Target="http://www.vcgr.vic.gov.au/CA2570C30016EEF3/wListOfVenues/C230AA296EA16CA1CA257C690082F973?Open" TargetMode="External"/><Relationship Id="rId259" Type="http://schemas.openxmlformats.org/officeDocument/2006/relationships/hyperlink" Target="http://www.vcgr.vic.gov.au/CA2570C30016EEF3/wListOfVenues/0CF9BEE6744A962ACA257C690082F941?Open" TargetMode="External"/><Relationship Id="rId424" Type="http://schemas.openxmlformats.org/officeDocument/2006/relationships/hyperlink" Target="http://www.vcgr.vic.gov.au/CA2570C30016EEF3/wListOfVenues/440EC0B046440F45CA257C690082F99F?Open" TargetMode="External"/><Relationship Id="rId466" Type="http://schemas.openxmlformats.org/officeDocument/2006/relationships/hyperlink" Target="http://www.vcgr.vic.gov.au/CA2570C30016EEF3/wListOfVenues/4E875588BA75A1C7CA257C690082F962?Open" TargetMode="External"/><Relationship Id="rId23" Type="http://schemas.openxmlformats.org/officeDocument/2006/relationships/hyperlink" Target="http://www.vcgr.vic.gov.au/CA2570C30016EEF3/wListOfVenues/74A8F63EBB52E8A8CA257C690082F937?Open" TargetMode="External"/><Relationship Id="rId119" Type="http://schemas.openxmlformats.org/officeDocument/2006/relationships/hyperlink" Target="http://www.vcgr.vic.gov.au/CA2570C30016EEF3/wListOfVenues/FE871F2217A99E83CA257C690082F95D?Open" TargetMode="External"/><Relationship Id="rId270" Type="http://schemas.openxmlformats.org/officeDocument/2006/relationships/hyperlink" Target="http://www.vcgr.vic.gov.au/CA2570C30016EEF3/wListOfVenues/7332E1D71A7B0C12CA257C690082F954?Open" TargetMode="External"/><Relationship Id="rId326" Type="http://schemas.openxmlformats.org/officeDocument/2006/relationships/hyperlink" Target="http://www.vcgr.vic.gov.au/CA2570C30016EEF3/wListOfVenues/D9157ACBAE62DB52CA257C690082F9AC?Open" TargetMode="External"/><Relationship Id="rId533" Type="http://schemas.openxmlformats.org/officeDocument/2006/relationships/hyperlink" Target="http://www.vcgr.vic.gov.au/CA2570C30016EEF3/wListOfVenues/BA5C013058041EE1CA257C690082F89E?Open" TargetMode="External"/><Relationship Id="rId65" Type="http://schemas.openxmlformats.org/officeDocument/2006/relationships/hyperlink" Target="http://www.vcgr.vic.gov.au/CA2570C30016EEF3/wListOfVenues/5014B9AC3608DD9ACA257C690082F800?Open" TargetMode="External"/><Relationship Id="rId130" Type="http://schemas.openxmlformats.org/officeDocument/2006/relationships/hyperlink" Target="http://www.vcgr.vic.gov.au/CA2570C30016EEF3/wListOfVenues/598F580F29934A42CA257C690082F7F2?Open" TargetMode="External"/><Relationship Id="rId368" Type="http://schemas.openxmlformats.org/officeDocument/2006/relationships/hyperlink" Target="http://www.vcgr.vic.gov.au/CA2570C30016EEF3/wListOfVenues/3F857A2595710715CA257C690082F9BB?Open" TargetMode="External"/><Relationship Id="rId172" Type="http://schemas.openxmlformats.org/officeDocument/2006/relationships/hyperlink" Target="http://www.vcgr.vic.gov.au/CA2570C30016EEF3/wListOfVenues/A37ED2DE0AEBF3F0CA257C690082F9DA?Open" TargetMode="External"/><Relationship Id="rId228" Type="http://schemas.openxmlformats.org/officeDocument/2006/relationships/hyperlink" Target="http://www.vcgr.vic.gov.au/CA2570C30016EEF3/wListOfVenues/95FAAE0D9DB21F05CA257C690082F9E6?Open" TargetMode="External"/><Relationship Id="rId435" Type="http://schemas.openxmlformats.org/officeDocument/2006/relationships/hyperlink" Target="http://www.vcgr.vic.gov.au/CA2570C30016EEF3/wListOfVenues/7D69772C95B97748CA257C690082F8DC?Open" TargetMode="External"/><Relationship Id="rId477" Type="http://schemas.openxmlformats.org/officeDocument/2006/relationships/hyperlink" Target="http://www.vcgr.vic.gov.au/CA2570C30016EEF3/wListOfVenues/CF1F4558E150C6DACA257C690082F980?Open" TargetMode="External"/><Relationship Id="rId281" Type="http://schemas.openxmlformats.org/officeDocument/2006/relationships/hyperlink" Target="http://www.vcgr.vic.gov.au/CA2570C30016EEF3/wListOfVenues/281212CD1D46193ECA257C690082F843?Open" TargetMode="External"/><Relationship Id="rId337" Type="http://schemas.openxmlformats.org/officeDocument/2006/relationships/hyperlink" Target="http://www.vcgr.vic.gov.au/CA2570C30016EEF3/wListOfVenues/2DFABBEFED66D517CA257C690082F95A?Open" TargetMode="External"/><Relationship Id="rId502" Type="http://schemas.openxmlformats.org/officeDocument/2006/relationships/hyperlink" Target="http://www.vcgr.vic.gov.au/CA2570C30016EEF3/wListOfVenues/FF8DCBD4B84FC14ACA257C690082F886?Open" TargetMode="External"/><Relationship Id="rId34" Type="http://schemas.openxmlformats.org/officeDocument/2006/relationships/hyperlink" Target="http://www.vcgr.vic.gov.au/CA2570C30016EEF3/wListOfVenues/A1A5070D1D78D704CA257C690082F949?Open" TargetMode="External"/><Relationship Id="rId76" Type="http://schemas.openxmlformats.org/officeDocument/2006/relationships/hyperlink" Target="http://www.vcgr.vic.gov.au/CA2570C30016EEF3/wListOfVenues/3B8F4C6A8D768A4CCA257C690082F9BC?Open" TargetMode="External"/><Relationship Id="rId141" Type="http://schemas.openxmlformats.org/officeDocument/2006/relationships/hyperlink" Target="http://www.vcgr.vic.gov.au/CA2570C30016EEF3/wListOfVenues/CB71262354FBCFC0CA257C690082F9DD?Open" TargetMode="External"/><Relationship Id="rId379" Type="http://schemas.openxmlformats.org/officeDocument/2006/relationships/hyperlink" Target="http://www.vcgr.vic.gov.au/CA2570C30016EEF3/wListOfVenues/A918570FFB734C2CCA257C690082F8F1?Open" TargetMode="External"/><Relationship Id="rId7" Type="http://schemas.openxmlformats.org/officeDocument/2006/relationships/hyperlink" Target="http://www.vcgr.vic.gov.au/CA2570C30016EEF3/wListOfVenues/D0E41344632FD95CCA257C690082F8C1?Open" TargetMode="External"/><Relationship Id="rId183" Type="http://schemas.openxmlformats.org/officeDocument/2006/relationships/hyperlink" Target="http://www.vcgr.vic.gov.au/CA2570C30016EEF3/wListOfVenues/B75DA7A9B10D4B41CA257C690082F90F?Open" TargetMode="External"/><Relationship Id="rId239" Type="http://schemas.openxmlformats.org/officeDocument/2006/relationships/hyperlink" Target="http://www.vcgr.vic.gov.au/CA2570C30016EEF3/wListOfVenues/D0B7FB953BC787C5CA257C690082F8A5?Open" TargetMode="External"/><Relationship Id="rId390" Type="http://schemas.openxmlformats.org/officeDocument/2006/relationships/hyperlink" Target="http://www.vcgr.vic.gov.au/CA2570C30016EEF3/wListOfVenues/00F5927CA4A730E6CA257C690082F9D3?Open" TargetMode="External"/><Relationship Id="rId404" Type="http://schemas.openxmlformats.org/officeDocument/2006/relationships/hyperlink" Target="http://www.vcgr.vic.gov.au/CA2570C30016EEF3/wListOfVenues/657F92AE8FBF8D04CA257C690082F831?Open" TargetMode="External"/><Relationship Id="rId446" Type="http://schemas.openxmlformats.org/officeDocument/2006/relationships/hyperlink" Target="http://www.vcgr.vic.gov.au/CA2570C30016EEF3/wListOfVenues/647E6C6733BE7931CA257C690082F8F7?Open" TargetMode="External"/><Relationship Id="rId250" Type="http://schemas.openxmlformats.org/officeDocument/2006/relationships/hyperlink" Target="http://www.vcgr.vic.gov.au/CA2570C30016EEF3/wListOfVenues/728782FD7D11481BCA257C690082F8C3?Open" TargetMode="External"/><Relationship Id="rId292" Type="http://schemas.openxmlformats.org/officeDocument/2006/relationships/hyperlink" Target="http://www.vcgr.vic.gov.au/CA2570C30016EEF3/wListOfVenues/F55055010760C2E4CA257C690082F832?Open" TargetMode="External"/><Relationship Id="rId306" Type="http://schemas.openxmlformats.org/officeDocument/2006/relationships/hyperlink" Target="http://www.vcgr.vic.gov.au/CA2570C30016EEF3/wListOfVenues/35FA1E0A15D9EE8DCA257C690082F96F?Open" TargetMode="External"/><Relationship Id="rId488" Type="http://schemas.openxmlformats.org/officeDocument/2006/relationships/hyperlink" Target="http://www.vcgr.vic.gov.au/CA2570C30016EEF3/wListOfVenues/8724DAB30BB68938CA257C690082F827?Open" TargetMode="External"/><Relationship Id="rId45" Type="http://schemas.openxmlformats.org/officeDocument/2006/relationships/hyperlink" Target="http://www.vcgr.vic.gov.au/CA2570C30016EEF3/wListOfVenues/036503650A7C9CCBCA257C690082F8E4?Open" TargetMode="External"/><Relationship Id="rId87" Type="http://schemas.openxmlformats.org/officeDocument/2006/relationships/hyperlink" Target="http://www.vcgr.vic.gov.au/CA2570C30016EEF3/wListOfVenues/E603874F836D3D9ACA257C690082F9A9?Open" TargetMode="External"/><Relationship Id="rId110" Type="http://schemas.openxmlformats.org/officeDocument/2006/relationships/hyperlink" Target="http://www.vcgr.vic.gov.au/CA2570C30016EEF3/wListOfVenues/410775F59086019FCA257C690082F9AE?Open" TargetMode="External"/><Relationship Id="rId348" Type="http://schemas.openxmlformats.org/officeDocument/2006/relationships/hyperlink" Target="http://www.vcgr.vic.gov.au/CA2570C30016EEF3/wListOfVenues/54F3412FBE062378CA257C690082F7FD?Open" TargetMode="External"/><Relationship Id="rId513" Type="http://schemas.openxmlformats.org/officeDocument/2006/relationships/hyperlink" Target="http://www.vcgr.vic.gov.au/CA2570C30016EEF3/wListOfVenues/31F008CCB2C0159DCA257C690082F9D1?Open" TargetMode="External"/><Relationship Id="rId152" Type="http://schemas.openxmlformats.org/officeDocument/2006/relationships/hyperlink" Target="http://www.vcgr.vic.gov.au/CA2570C30016EEF3/wListOfVenues/9F23777333ED50D2CA257C690082F8DD?Open" TargetMode="External"/><Relationship Id="rId194" Type="http://schemas.openxmlformats.org/officeDocument/2006/relationships/hyperlink" Target="http://www.vcgr.vic.gov.au/CA2570C30016EEF3/wListOfVenues/1448592F6CA5375FCA257C690082F9FE?Open" TargetMode="External"/><Relationship Id="rId208" Type="http://schemas.openxmlformats.org/officeDocument/2006/relationships/hyperlink" Target="http://www.vcgr.vic.gov.au/CA2570C30016EEF3/wListOfVenues/B1A45AC2DF15229DCA257C690082F8A0?Open" TargetMode="External"/><Relationship Id="rId415" Type="http://schemas.openxmlformats.org/officeDocument/2006/relationships/hyperlink" Target="http://www.vcgr.vic.gov.au/CA2570C30016EEF3/wListOfVenues/9B4BD2F57FF1E3C1CA257C690082F94B?Open" TargetMode="External"/><Relationship Id="rId457" Type="http://schemas.openxmlformats.org/officeDocument/2006/relationships/hyperlink" Target="http://www.vcgr.vic.gov.au/CA2570C30016EEF3/wListOfVenues/2BA2CB8D46F17147CA257C690082F95C?Open" TargetMode="External"/><Relationship Id="rId261" Type="http://schemas.openxmlformats.org/officeDocument/2006/relationships/hyperlink" Target="http://www.vcgr.vic.gov.au/CA2570C30016EEF3/wListOfVenues/37F237C46FB45014CA257C690082F9BE?Open" TargetMode="External"/><Relationship Id="rId499" Type="http://schemas.openxmlformats.org/officeDocument/2006/relationships/hyperlink" Target="http://www.vcgr.vic.gov.au/CA2570C30016EEF3/wListOfVenues/FE95DB6E3689D43FCA257C690082F84B?Open" TargetMode="External"/><Relationship Id="rId14" Type="http://schemas.openxmlformats.org/officeDocument/2006/relationships/hyperlink" Target="http://www.vcgr.vic.gov.au/CA2570C30016EEF3/wListOfVenues/EFC26FFDFB80B82ECA257C690082F871?Open" TargetMode="External"/><Relationship Id="rId56" Type="http://schemas.openxmlformats.org/officeDocument/2006/relationships/hyperlink" Target="http://www.vcgr.vic.gov.au/CA2570C30016EEF3/wListOfVenues/BA9452973C9A067CCA257C690082F80C?Open" TargetMode="External"/><Relationship Id="rId317" Type="http://schemas.openxmlformats.org/officeDocument/2006/relationships/hyperlink" Target="http://www.vcgr.vic.gov.au/CA2570C30016EEF3/wListOfVenues/4238F839CD1865CDCA257C690082F9E0?Open" TargetMode="External"/><Relationship Id="rId359" Type="http://schemas.openxmlformats.org/officeDocument/2006/relationships/hyperlink" Target="http://www.vcgr.vic.gov.au/CA2570C30016EEF3/wListOfVenues/59EB860D06C0443CCA257C690082F8BC?Open" TargetMode="External"/><Relationship Id="rId524" Type="http://schemas.openxmlformats.org/officeDocument/2006/relationships/hyperlink" Target="http://www.vcgr.vic.gov.au/CA2570C30016EEF3/wListOfVenues/39BDE4208F045FECCA257C690082F964?Open" TargetMode="External"/><Relationship Id="rId98" Type="http://schemas.openxmlformats.org/officeDocument/2006/relationships/hyperlink" Target="http://www.vcgr.vic.gov.au/CA2570C30016EEF3/wListOfVenues/98126EA7CAD0FB6ACA257C690082F9F1?Open" TargetMode="External"/><Relationship Id="rId121" Type="http://schemas.openxmlformats.org/officeDocument/2006/relationships/hyperlink" Target="http://www.vcgr.vic.gov.au/CA2570C30016EEF3/wListOfVenues/0163EE896AB48014CA257C690082F971?Open" TargetMode="External"/><Relationship Id="rId163" Type="http://schemas.openxmlformats.org/officeDocument/2006/relationships/hyperlink" Target="http://www.vcgr.vic.gov.au/CA2570C30016EEF3/wListOfVenues/B48FAA41C5FF94A0CA257C690082F9E7?Open" TargetMode="External"/><Relationship Id="rId219" Type="http://schemas.openxmlformats.org/officeDocument/2006/relationships/hyperlink" Target="http://www.vcgr.vic.gov.au/CA2570C30016EEF3/wListOfVenues/C6D7D6AB06EA98F8CA257C690082F82F?Open" TargetMode="External"/><Relationship Id="rId370" Type="http://schemas.openxmlformats.org/officeDocument/2006/relationships/hyperlink" Target="http://www.vcgr.vic.gov.au/CA2570C30016EEF3/wListOfVenues/D041AF9AFCB210A4CA257C690082F8A8?Open" TargetMode="External"/><Relationship Id="rId426" Type="http://schemas.openxmlformats.org/officeDocument/2006/relationships/hyperlink" Target="http://www.vcgr.vic.gov.au/CA2570C30016EEF3/wListOfVenues/502313D503CF84FCCA257C690082F95F?Open" TargetMode="External"/><Relationship Id="rId230" Type="http://schemas.openxmlformats.org/officeDocument/2006/relationships/hyperlink" Target="http://www.vcgr.vic.gov.au/CA2570C30016EEF3/wListOfVenues/E1E3CEB61AF762A0CA257C690082F981?Open" TargetMode="External"/><Relationship Id="rId468" Type="http://schemas.openxmlformats.org/officeDocument/2006/relationships/hyperlink" Target="http://www.vcgr.vic.gov.au/CA2570C30016EEF3/wListOfVenues/77F5084BDEBBC207CA257C690082F9C8?Open" TargetMode="External"/><Relationship Id="rId25" Type="http://schemas.openxmlformats.org/officeDocument/2006/relationships/hyperlink" Target="http://www.vcgr.vic.gov.au/CA2570C30016EEF3/wListOfVenues/5FF38D38CDF99352CA257C690082F854?Open" TargetMode="External"/><Relationship Id="rId67" Type="http://schemas.openxmlformats.org/officeDocument/2006/relationships/hyperlink" Target="http://www.vcgr.vic.gov.au/CA2570C30016EEF3/wListOfVenues/B1F350173DDFC4EBCA257C690082F8AF?Open" TargetMode="External"/><Relationship Id="rId272" Type="http://schemas.openxmlformats.org/officeDocument/2006/relationships/hyperlink" Target="http://www.vcgr.vic.gov.au/CA2570C30016EEF3/wListOfVenues/9FBBFDD042BEC971CA257C690082F899?Open" TargetMode="External"/><Relationship Id="rId328" Type="http://schemas.openxmlformats.org/officeDocument/2006/relationships/hyperlink" Target="http://www.vcgr.vic.gov.au/CA2570C30016EEF3/wListOfVenues/A76F3D7F02423FF5CA257C690082F9F0?Open" TargetMode="External"/><Relationship Id="rId535" Type="http://schemas.openxmlformats.org/officeDocument/2006/relationships/hyperlink" Target="http://www.vcgr.vic.gov.au/CA2570C30016EEF3/wListOfVenues/CD2B02BBC0FD843BCA257C690082F9C4?Open" TargetMode="External"/><Relationship Id="rId88" Type="http://schemas.openxmlformats.org/officeDocument/2006/relationships/hyperlink" Target="http://www.vcgr.vic.gov.au/CA2570C30016EEF3/wListOfVenues/6DDBCCE75AE1D06ECA257C690082F94D?Open" TargetMode="External"/><Relationship Id="rId111" Type="http://schemas.openxmlformats.org/officeDocument/2006/relationships/hyperlink" Target="http://www.vcgr.vic.gov.au/CA2570C30016EEF3/wListOfVenues/68D0DAAA372FA454CA257C690082F9D8?Open" TargetMode="External"/><Relationship Id="rId132" Type="http://schemas.openxmlformats.org/officeDocument/2006/relationships/hyperlink" Target="http://www.vcgr.vic.gov.au/CA2570C30016EEF3/wListOfVenues/CB795FE482D0FE31CA257C690082F8DF?Open" TargetMode="External"/><Relationship Id="rId153" Type="http://schemas.openxmlformats.org/officeDocument/2006/relationships/hyperlink" Target="http://www.vcgr.vic.gov.au/CA2570C30016EEF3/wListOfVenues/5E3B515D75B4F633CA257C690082F919?Open" TargetMode="External"/><Relationship Id="rId174" Type="http://schemas.openxmlformats.org/officeDocument/2006/relationships/hyperlink" Target="http://www.vcgr.vic.gov.au/CA2570C30016EEF3/wListOfVenues/80AE993CF36153E7CA257C690082F888?Open" TargetMode="External"/><Relationship Id="rId195" Type="http://schemas.openxmlformats.org/officeDocument/2006/relationships/hyperlink" Target="http://www.vcgr.vic.gov.au/CA2570C30016EEF3/wListOfVenues/59DABE61FF9C2DFCCA257C690082F965?Open" TargetMode="External"/><Relationship Id="rId209" Type="http://schemas.openxmlformats.org/officeDocument/2006/relationships/hyperlink" Target="http://www.vcgr.vic.gov.au/CA2570C30016EEF3/wListOfVenues/C22B00970579BBB3CA257C690082F9CD?Open" TargetMode="External"/><Relationship Id="rId360" Type="http://schemas.openxmlformats.org/officeDocument/2006/relationships/hyperlink" Target="http://www.vcgr.vic.gov.au/CA2570C30016EEF3/wListOfVenues/26CE177789BB9577CA257C690082F90D?Open" TargetMode="External"/><Relationship Id="rId381" Type="http://schemas.openxmlformats.org/officeDocument/2006/relationships/hyperlink" Target="http://www.vcgr.vic.gov.au/CA2570C30016EEF3/wListOfVenues/CB1F64F24326F92ECA257C690082F865?Open" TargetMode="External"/><Relationship Id="rId416" Type="http://schemas.openxmlformats.org/officeDocument/2006/relationships/hyperlink" Target="http://www.vcgr.vic.gov.au/CA2570C30016EEF3/wListOfVenues/F2A42D56A6407C77CA257C690082F978?Open" TargetMode="External"/><Relationship Id="rId220" Type="http://schemas.openxmlformats.org/officeDocument/2006/relationships/hyperlink" Target="http://www.vcgr.vic.gov.au/CA2570C30016EEF3/wListOfVenues/1424908CB0B2444ACA257C690082F857?Open" TargetMode="External"/><Relationship Id="rId241" Type="http://schemas.openxmlformats.org/officeDocument/2006/relationships/hyperlink" Target="http://www.vcgr.vic.gov.au/CA2570C30016EEF3/wListOfVenues/DEB41F9B69C623E0CA257C690082F90C?Open" TargetMode="External"/><Relationship Id="rId437" Type="http://schemas.openxmlformats.org/officeDocument/2006/relationships/hyperlink" Target="http://www.vcgr.vic.gov.au/CA2570C30016EEF3/wListOfVenues/1C6E7CC09E57D21FCA257C690082F816?Open" TargetMode="External"/><Relationship Id="rId458" Type="http://schemas.openxmlformats.org/officeDocument/2006/relationships/hyperlink" Target="http://www.vcgr.vic.gov.au/CA2570C30016EEF3/wListOfVenues/4E7E460E2D64CF7ECA257C690082F916?Open" TargetMode="External"/><Relationship Id="rId479" Type="http://schemas.openxmlformats.org/officeDocument/2006/relationships/hyperlink" Target="http://www.vcgr.vic.gov.au/CA2570C30016EEF3/wListOfVenues/9B077349B952D07CCA257C690082F8E1?Open" TargetMode="External"/><Relationship Id="rId15" Type="http://schemas.openxmlformats.org/officeDocument/2006/relationships/hyperlink" Target="http://www.vcgr.vic.gov.au/CA2570C30016EEF3/wListOfVenues/F8D50639C11C0489CA257C690082F967?Open" TargetMode="External"/><Relationship Id="rId36" Type="http://schemas.openxmlformats.org/officeDocument/2006/relationships/hyperlink" Target="http://www.vcgr.vic.gov.au/CA2570C30016EEF3/wListOfVenues/A59F8BC6D812AB4DCA257C690082F828?Open" TargetMode="External"/><Relationship Id="rId57" Type="http://schemas.openxmlformats.org/officeDocument/2006/relationships/hyperlink" Target="http://www.vcgr.vic.gov.au/CA2570C30016EEF3/wListOfVenues/D4544FCB40B4F526CA257C690082F9AD?Open" TargetMode="External"/><Relationship Id="rId262" Type="http://schemas.openxmlformats.org/officeDocument/2006/relationships/hyperlink" Target="http://www.vcgr.vic.gov.au/CA2570C30016EEF3/wListOfVenues/489E6B94BBB243DECA257C690082F8CC?Open" TargetMode="External"/><Relationship Id="rId283" Type="http://schemas.openxmlformats.org/officeDocument/2006/relationships/hyperlink" Target="http://www.vcgr.vic.gov.au/CA2570C30016EEF3/wListOfVenues/F857FBA5FC8BEA4DCA257C690082F8D1?Open" TargetMode="External"/><Relationship Id="rId318" Type="http://schemas.openxmlformats.org/officeDocument/2006/relationships/hyperlink" Target="http://www.vcgr.vic.gov.au/CA2570C30016EEF3/wListOfVenues/87CAAF2BB9EBDB49CA257C690082F882?Open" TargetMode="External"/><Relationship Id="rId339" Type="http://schemas.openxmlformats.org/officeDocument/2006/relationships/hyperlink" Target="http://www.vcgr.vic.gov.au/CA2570C30016EEF3/wListOfVenues/FAAAE3C4D01800E5CA257C690082F837?Open" TargetMode="External"/><Relationship Id="rId490" Type="http://schemas.openxmlformats.org/officeDocument/2006/relationships/hyperlink" Target="http://www.vcgr.vic.gov.au/CA2570C30016EEF3/wListOfVenues/7DE487B38D1D10C3CA257C690082F8EF?Open" TargetMode="External"/><Relationship Id="rId504" Type="http://schemas.openxmlformats.org/officeDocument/2006/relationships/hyperlink" Target="http://www.vcgr.vic.gov.au/CA2570C30016EEF3/wListOfVenues/7A27A03451F215B0CA257C690082F8CF?Open" TargetMode="External"/><Relationship Id="rId525" Type="http://schemas.openxmlformats.org/officeDocument/2006/relationships/hyperlink" Target="http://www.vcgr.vic.gov.au/CA2570C30016EEF3/wListOfVenues/CE50F880067174EBCA257C690082F92A?Open" TargetMode="External"/><Relationship Id="rId78" Type="http://schemas.openxmlformats.org/officeDocument/2006/relationships/hyperlink" Target="http://www.vcgr.vic.gov.au/CA2570C30016EEF3/wListOfVenues/18D7720191A0EE6ECA257C690082F97C?Open" TargetMode="External"/><Relationship Id="rId99" Type="http://schemas.openxmlformats.org/officeDocument/2006/relationships/hyperlink" Target="http://www.vcgr.vic.gov.au/CA2570C30016EEF3/wListOfVenues/0E4948209D62BFCECA257C690082F9CC?Open" TargetMode="External"/><Relationship Id="rId101" Type="http://schemas.openxmlformats.org/officeDocument/2006/relationships/hyperlink" Target="http://www.vcgr.vic.gov.au/CA2570C30016EEF3/wListOfVenues/B54720A10159A3D7CA257C690082F920?Open" TargetMode="External"/><Relationship Id="rId122" Type="http://schemas.openxmlformats.org/officeDocument/2006/relationships/hyperlink" Target="http://www.vcgr.vic.gov.au/CA2570C30016EEF3/wListOfVenues/74DC0164AB8CEE18CA257C690082F83E?Open" TargetMode="External"/><Relationship Id="rId143" Type="http://schemas.openxmlformats.org/officeDocument/2006/relationships/hyperlink" Target="http://www.vcgr.vic.gov.au/CA2570C30016EEF3/wListOfVenues/944CDADF3113A7C1CA257C690082F974?Open" TargetMode="External"/><Relationship Id="rId164" Type="http://schemas.openxmlformats.org/officeDocument/2006/relationships/hyperlink" Target="http://www.vcgr.vic.gov.au/CA2570C30016EEF3/wListOfVenues/5B5F9429A9C7C587CA257C690082F92E?Open" TargetMode="External"/><Relationship Id="rId185" Type="http://schemas.openxmlformats.org/officeDocument/2006/relationships/hyperlink" Target="http://www.vcgr.vic.gov.au/CA2570C30016EEF3/wListOfVenues/1BBF57B255A7F6C0CA257C690082F8E2?Open" TargetMode="External"/><Relationship Id="rId350" Type="http://schemas.openxmlformats.org/officeDocument/2006/relationships/hyperlink" Target="http://www.vcgr.vic.gov.au/CA2570C30016EEF3/wListOfVenues/4EB8BF241B1C05CCCA257C690082F868?Open" TargetMode="External"/><Relationship Id="rId371" Type="http://schemas.openxmlformats.org/officeDocument/2006/relationships/hyperlink" Target="http://www.vcgr.vic.gov.au/CA2570C30016EEF3/wListOfVenues/B525E9E5E3616E63CA257C690082F804?Open" TargetMode="External"/><Relationship Id="rId406" Type="http://schemas.openxmlformats.org/officeDocument/2006/relationships/hyperlink" Target="http://www.vcgr.vic.gov.au/CA2570C30016EEF3/wListOfVenues/AC70649160E3FB78CA257C690082F989?Open" TargetMode="External"/><Relationship Id="rId9" Type="http://schemas.openxmlformats.org/officeDocument/2006/relationships/hyperlink" Target="http://www.vcgr.vic.gov.au/CA2570C30016EEF3/wListOfVenues/ECFC09C31FF91DE0CA257C690082F878?Open" TargetMode="External"/><Relationship Id="rId210" Type="http://schemas.openxmlformats.org/officeDocument/2006/relationships/hyperlink" Target="http://www.vcgr.vic.gov.au/CA2570C30016EEF3/wListOfVenues/51B80397F2260C93CA257C690082F9DE?Open" TargetMode="External"/><Relationship Id="rId392" Type="http://schemas.openxmlformats.org/officeDocument/2006/relationships/hyperlink" Target="http://www.vcgr.vic.gov.au/CA2570C30016EEF3/wListOfVenues/520828B67E484B64CA257C690082F801?Open" TargetMode="External"/><Relationship Id="rId427" Type="http://schemas.openxmlformats.org/officeDocument/2006/relationships/hyperlink" Target="http://www.vcgr.vic.gov.au/CA2570C30016EEF3/wListOfVenues/14FE438EB13AC344CA257C690082F9A5?Open" TargetMode="External"/><Relationship Id="rId448" Type="http://schemas.openxmlformats.org/officeDocument/2006/relationships/hyperlink" Target="http://www.vcgr.vic.gov.au/CA2570C30016EEF3/wListOfVenues/4C068E052AF3C757CA257C690082F935?Open" TargetMode="External"/><Relationship Id="rId469" Type="http://schemas.openxmlformats.org/officeDocument/2006/relationships/hyperlink" Target="http://www.vcgr.vic.gov.au/CA2570C30016EEF3/wListOfVenues/123BB9FECFE38D78CA257C690082F8AE?Open" TargetMode="External"/><Relationship Id="rId26" Type="http://schemas.openxmlformats.org/officeDocument/2006/relationships/hyperlink" Target="http://www.vcgr.vic.gov.au/CA2570C30016EEF3/wListOfVenues/040E7959DCB84249CA257C690082F893?Open" TargetMode="External"/><Relationship Id="rId231" Type="http://schemas.openxmlformats.org/officeDocument/2006/relationships/hyperlink" Target="http://www.vcgr.vic.gov.au/CA2570C30016EEF3/wListOfVenues/001F44BE67F8C661CA257C690082F7F9?Open" TargetMode="External"/><Relationship Id="rId252" Type="http://schemas.openxmlformats.org/officeDocument/2006/relationships/hyperlink" Target="http://www.vcgr.vic.gov.au/CA2570C30016EEF3/wListOfVenues/1235CAB37E909BEECA257C690082F902?Open" TargetMode="External"/><Relationship Id="rId273" Type="http://schemas.openxmlformats.org/officeDocument/2006/relationships/hyperlink" Target="http://www.vcgr.vic.gov.au/CA2570C30016EEF3/wListOfVenues/114DC579A1AF8CF6CA257C690082F93E?Open" TargetMode="External"/><Relationship Id="rId294" Type="http://schemas.openxmlformats.org/officeDocument/2006/relationships/hyperlink" Target="http://www.vcgr.vic.gov.au/CA2570C30016EEF3/wListOfVenues/46C189B232E1868FCA257C690082F93C?Open" TargetMode="External"/><Relationship Id="rId308" Type="http://schemas.openxmlformats.org/officeDocument/2006/relationships/hyperlink" Target="http://www.vcgr.vic.gov.au/CA2570C30016EEF3/wListOfVenues/308EB3F7A8146565CA257C690082F810?Open" TargetMode="External"/><Relationship Id="rId329" Type="http://schemas.openxmlformats.org/officeDocument/2006/relationships/hyperlink" Target="http://www.vcgr.vic.gov.au/CA2570C30016EEF3/wListOfVenues/F1E26352B1BA5F09CA257C690082F9E2?Open" TargetMode="External"/><Relationship Id="rId480" Type="http://schemas.openxmlformats.org/officeDocument/2006/relationships/hyperlink" Target="http://www.vcgr.vic.gov.au/CA2570C30016EEF3/wListOfVenues/97BAD9594D32E577CA257C690082F87D?Open" TargetMode="External"/><Relationship Id="rId515" Type="http://schemas.openxmlformats.org/officeDocument/2006/relationships/hyperlink" Target="http://www.vcgr.vic.gov.au/CA2570C30016EEF3/wListOfVenues/6AF767BB72E6FF4BCA257C690082F8DB?Open" TargetMode="External"/><Relationship Id="rId536" Type="http://schemas.openxmlformats.org/officeDocument/2006/relationships/hyperlink" Target="http://www.vcgr.vic.gov.au/CA2570C30016EEF3/wListOfVenues/5B8C18E9376B9C5BCA257C690082F952?Open" TargetMode="External"/><Relationship Id="rId47" Type="http://schemas.openxmlformats.org/officeDocument/2006/relationships/hyperlink" Target="http://www.vcgr.vic.gov.au/CA2570C30016EEF3/wListOfVenues/177C45C9FC765C53CA257C690082F9EB?Open" TargetMode="External"/><Relationship Id="rId68" Type="http://schemas.openxmlformats.org/officeDocument/2006/relationships/hyperlink" Target="http://www.vcgr.vic.gov.au/CA2570C30016EEF3/wListOfVenues/AC121AA58A4450A7CA257C690082F849?Open" TargetMode="External"/><Relationship Id="rId89" Type="http://schemas.openxmlformats.org/officeDocument/2006/relationships/hyperlink" Target="http://www.vcgr.vic.gov.au/CA2570C30016EEF3/wListOfVenues/B66900A8DB2C16A6CA257C690082F8EA?Open" TargetMode="External"/><Relationship Id="rId112" Type="http://schemas.openxmlformats.org/officeDocument/2006/relationships/hyperlink" Target="http://www.vcgr.vic.gov.au/CA2570C30016EEF3/wListOfVenues/B72E948856F1E115CA257C690082F991?Open" TargetMode="External"/><Relationship Id="rId133" Type="http://schemas.openxmlformats.org/officeDocument/2006/relationships/hyperlink" Target="http://www.vcgr.vic.gov.au/CA2570C30016EEF3/wListOfVenues/6BED5BA905422675CA257C690082F85D?Open" TargetMode="External"/><Relationship Id="rId154" Type="http://schemas.openxmlformats.org/officeDocument/2006/relationships/hyperlink" Target="http://www.vcgr.vic.gov.au/CA2570C30016EEF3/wListOfVenues/4765C7DDA758B913CA257C690082F996?Open" TargetMode="External"/><Relationship Id="rId175" Type="http://schemas.openxmlformats.org/officeDocument/2006/relationships/hyperlink" Target="http://www.vcgr.vic.gov.au/CA2570C30016EEF3/wListOfVenues/43B9B79B5A5D226DCA257C690082F9BD?Open" TargetMode="External"/><Relationship Id="rId340" Type="http://schemas.openxmlformats.org/officeDocument/2006/relationships/hyperlink" Target="http://www.vcgr.vic.gov.au/CA2570C30016EEF3/wListOfVenues/7681C1FD42C0F7E9CA257C690082F98E?Open" TargetMode="External"/><Relationship Id="rId361" Type="http://schemas.openxmlformats.org/officeDocument/2006/relationships/hyperlink" Target="http://www.vcgr.vic.gov.au/CA2570C30016EEF3/wListOfVenues/7CE130D148FE2969CA257C690082F8FC?Open" TargetMode="External"/><Relationship Id="rId196" Type="http://schemas.openxmlformats.org/officeDocument/2006/relationships/hyperlink" Target="http://www.vcgr.vic.gov.au/CA2570C30016EEF3/wListOfVenues/A2CDAF4982EF20ABCA257C690082F87E?Open" TargetMode="External"/><Relationship Id="rId200" Type="http://schemas.openxmlformats.org/officeDocument/2006/relationships/hyperlink" Target="http://www.vcgr.vic.gov.au/CA2570C30016EEF3/wListOfVenues/41952095F3EEF467CA257C690082F9CE?Open" TargetMode="External"/><Relationship Id="rId382" Type="http://schemas.openxmlformats.org/officeDocument/2006/relationships/hyperlink" Target="http://www.vcgr.vic.gov.au/CA2570C30016EEF3/wListOfVenues/CCB0494820380937CA257C690082F9F9?Open" TargetMode="External"/><Relationship Id="rId417" Type="http://schemas.openxmlformats.org/officeDocument/2006/relationships/hyperlink" Target="http://www.vcgr.vic.gov.au/CA2570C30016EEF3/wListOfVenues/183BA7DE4660E5EBCA257C690082F945?Open" TargetMode="External"/><Relationship Id="rId438" Type="http://schemas.openxmlformats.org/officeDocument/2006/relationships/hyperlink" Target="http://www.vcgr.vic.gov.au/CA2570C30016EEF3/wListOfVenues/813AFF3A3705BAC0CA257C690082F970?Open" TargetMode="External"/><Relationship Id="rId459" Type="http://schemas.openxmlformats.org/officeDocument/2006/relationships/hyperlink" Target="http://www.vcgr.vic.gov.au/CA2570C30016EEF3/wListOfVenues/68AA4D902DFBDFEACA257C690082F90B?Open" TargetMode="External"/><Relationship Id="rId16" Type="http://schemas.openxmlformats.org/officeDocument/2006/relationships/hyperlink" Target="http://www.vcgr.vic.gov.au/CA2570C30016EEF3/wListOfVenues/1176BC20BA174DE9CA257C690082F8FF?Open" TargetMode="External"/><Relationship Id="rId221" Type="http://schemas.openxmlformats.org/officeDocument/2006/relationships/hyperlink" Target="http://www.vcgr.vic.gov.au/CA2570C30016EEF3/wListOfVenues/801D6D80B99AA1BFCA257C690082F913?Open" TargetMode="External"/><Relationship Id="rId242" Type="http://schemas.openxmlformats.org/officeDocument/2006/relationships/hyperlink" Target="http://www.vcgr.vic.gov.au/CA2570C30016EEF3/wListOfVenues/EBFC9392E0D83703CA257C690082F8FD?Open" TargetMode="External"/><Relationship Id="rId263" Type="http://schemas.openxmlformats.org/officeDocument/2006/relationships/hyperlink" Target="http://www.vcgr.vic.gov.au/CA2570C30016EEF3/wListOfVenues/A3D5D8E90A926AB6CA257C690082F97E?Open" TargetMode="External"/><Relationship Id="rId284" Type="http://schemas.openxmlformats.org/officeDocument/2006/relationships/hyperlink" Target="http://www.vcgr.vic.gov.au/CA2570C30016EEF3/wListOfVenues/1672CAD35F77BDD2CA257C690082F859?Open" TargetMode="External"/><Relationship Id="rId319" Type="http://schemas.openxmlformats.org/officeDocument/2006/relationships/hyperlink" Target="http://www.vcgr.vic.gov.au/CA2570C30016EEF3/wListOfVenues/8074FEFEB28075C5CA257C690082F826?Open" TargetMode="External"/><Relationship Id="rId470" Type="http://schemas.openxmlformats.org/officeDocument/2006/relationships/hyperlink" Target="http://www.vcgr.vic.gov.au/CA2570C30016EEF3/wListOfVenues/D849510F4DA2430CCA257C690082F81C?Open" TargetMode="External"/><Relationship Id="rId491" Type="http://schemas.openxmlformats.org/officeDocument/2006/relationships/hyperlink" Target="http://www.vcgr.vic.gov.au/CA2570C30016EEF3/wListOfVenues/948B0E8004CA9784CA257C690082F982?Open" TargetMode="External"/><Relationship Id="rId505" Type="http://schemas.openxmlformats.org/officeDocument/2006/relationships/hyperlink" Target="http://www.vcgr.vic.gov.au/CA2570C30016EEF3/wListOfVenues/10905604E37A4D7BCA257C690082F7FC?Open" TargetMode="External"/><Relationship Id="rId526" Type="http://schemas.openxmlformats.org/officeDocument/2006/relationships/hyperlink" Target="http://www.vcgr.vic.gov.au/CA2570C30016EEF3/wListOfVenues/6769429AD3A1E808CA257C690082F9CA?Open" TargetMode="External"/><Relationship Id="rId37" Type="http://schemas.openxmlformats.org/officeDocument/2006/relationships/hyperlink" Target="http://www.vcgr.vic.gov.au/CA2570C30016EEF3/wListOfVenues/280110C63E153271CA257C690082F841?Open" TargetMode="External"/><Relationship Id="rId58" Type="http://schemas.openxmlformats.org/officeDocument/2006/relationships/hyperlink" Target="http://www.vcgr.vic.gov.au/CA2570C30016EEF3/wListOfVenues/F56841386A9DDB84CA257C690082F9F3?Open" TargetMode="External"/><Relationship Id="rId79" Type="http://schemas.openxmlformats.org/officeDocument/2006/relationships/hyperlink" Target="http://www.vcgr.vic.gov.au/CA2570C30016EEF3/wListOfVenues/5953599DF2EEEE93CA257C690082F823?Open" TargetMode="External"/><Relationship Id="rId102" Type="http://schemas.openxmlformats.org/officeDocument/2006/relationships/hyperlink" Target="http://www.vcgr.vic.gov.au/CA2570C30016EEF3/wListOfVenues/57EFF7D4769C5F28CA257C690082F9D6?Open" TargetMode="External"/><Relationship Id="rId123" Type="http://schemas.openxmlformats.org/officeDocument/2006/relationships/hyperlink" Target="http://www.vcgr.vic.gov.au/CA2570C30016EEF3/wListOfVenues/91726E723A96025DCA257C690082F92C?Open" TargetMode="External"/><Relationship Id="rId144" Type="http://schemas.openxmlformats.org/officeDocument/2006/relationships/hyperlink" Target="http://www.vcgr.vic.gov.au/CA2570C30016EEF3/wListOfVenues/5A477AA23212FB93CA257C690082F8D6?Open" TargetMode="External"/><Relationship Id="rId330" Type="http://schemas.openxmlformats.org/officeDocument/2006/relationships/hyperlink" Target="http://www.vcgr.vic.gov.au/CA2570C30016EEF3/wListOfVenues/6DAEA8896AA41F23CA257C690082F906?Open" TargetMode="External"/><Relationship Id="rId90" Type="http://schemas.openxmlformats.org/officeDocument/2006/relationships/hyperlink" Target="http://www.vcgr.vic.gov.au/CA2570C30016EEF3/wListOfVenues/CB52689CB1F3703DCA257C690082F976?Open" TargetMode="External"/><Relationship Id="rId165" Type="http://schemas.openxmlformats.org/officeDocument/2006/relationships/hyperlink" Target="http://www.vcgr.vic.gov.au/CA2570C30016EEF3/wListOfVenues/6FD44E3ACCFAF9BCCA257C690082F83C?Open" TargetMode="External"/><Relationship Id="rId186" Type="http://schemas.openxmlformats.org/officeDocument/2006/relationships/hyperlink" Target="http://www.vcgr.vic.gov.au/CA2570C30016EEF3/wListOfVenues/B1233C4EC8CF0BF6CA257C690082F901?Open" TargetMode="External"/><Relationship Id="rId351" Type="http://schemas.openxmlformats.org/officeDocument/2006/relationships/hyperlink" Target="http://www.vcgr.vic.gov.au/CA2570C30016EEF3/wListOfVenues/33AB79A206854A15CA257C690082F8C4?Open" TargetMode="External"/><Relationship Id="rId372" Type="http://schemas.openxmlformats.org/officeDocument/2006/relationships/hyperlink" Target="http://www.vcgr.vic.gov.au/CA2570C30016EEF3/wListOfVenues/CADA6A1609776893CA257C690082F858?Open" TargetMode="External"/><Relationship Id="rId393" Type="http://schemas.openxmlformats.org/officeDocument/2006/relationships/hyperlink" Target="http://www.vcgr.vic.gov.au/CA2570C30016EEF3/wListOfVenues/163261597D474F7FCA257C690082F864?Open" TargetMode="External"/><Relationship Id="rId407" Type="http://schemas.openxmlformats.org/officeDocument/2006/relationships/hyperlink" Target="http://www.vcgr.vic.gov.au/CA2570C30016EEF3/wListOfVenues/C66369CA06D0CB29CA257C690082F848?Open" TargetMode="External"/><Relationship Id="rId428" Type="http://schemas.openxmlformats.org/officeDocument/2006/relationships/hyperlink" Target="http://www.vcgr.vic.gov.au/CA2570C30016EEF3/wListOfVenues/4B2B14A759BA50CCCA257C690082F9A7?Open" TargetMode="External"/><Relationship Id="rId449" Type="http://schemas.openxmlformats.org/officeDocument/2006/relationships/hyperlink" Target="http://www.vcgr.vic.gov.au/CA2570C30016EEF3/wListOfVenues/085C96EA600F5A2CCA257C690082F7E9?Open" TargetMode="External"/><Relationship Id="rId211" Type="http://schemas.openxmlformats.org/officeDocument/2006/relationships/hyperlink" Target="http://www.vcgr.vic.gov.au/CA2570C30016EEF3/wListOfVenues/921809E1CEEE45D4CA257C690082F82E?Open" TargetMode="External"/><Relationship Id="rId232" Type="http://schemas.openxmlformats.org/officeDocument/2006/relationships/hyperlink" Target="http://www.vcgr.vic.gov.au/CA2570C30016EEF3/wListOfVenues/DC0D8EA837F30874CA257C690082F91A?Open" TargetMode="External"/><Relationship Id="rId253" Type="http://schemas.openxmlformats.org/officeDocument/2006/relationships/hyperlink" Target="http://www.vcgr.vic.gov.au/CA2570C30016EEF3/wListOfVenues/67BB33217950D2F3CA257C690082F983?Open" TargetMode="External"/><Relationship Id="rId274" Type="http://schemas.openxmlformats.org/officeDocument/2006/relationships/hyperlink" Target="http://www.vcgr.vic.gov.au/CA2570C30016EEF3/wListOfVenues/400910C51DA1362BCA257C690082F86F?Open" TargetMode="External"/><Relationship Id="rId295" Type="http://schemas.openxmlformats.org/officeDocument/2006/relationships/hyperlink" Target="http://www.vcgr.vic.gov.au/CA2570C30016EEF3/wListOfVenues/C9AD9B70422BECEACA257C690082F98B?Open" TargetMode="External"/><Relationship Id="rId309" Type="http://schemas.openxmlformats.org/officeDocument/2006/relationships/hyperlink" Target="http://www.vcgr.vic.gov.au/CA2570C30016EEF3/wListOfVenues/CC5ED128C500A69ACA257C690082F97D?Open" TargetMode="External"/><Relationship Id="rId460" Type="http://schemas.openxmlformats.org/officeDocument/2006/relationships/hyperlink" Target="http://www.vcgr.vic.gov.au/CA2570C30016EEF3/wListOfVenues/3CFF3E50EE20D8F5CA257C690082F9EE?Open" TargetMode="External"/><Relationship Id="rId481" Type="http://schemas.openxmlformats.org/officeDocument/2006/relationships/hyperlink" Target="http://www.vcgr.vic.gov.au/CA2570C30016EEF3/wListOfVenues/F514756D2EFB4527CA257C690082F815?Open" TargetMode="External"/><Relationship Id="rId516" Type="http://schemas.openxmlformats.org/officeDocument/2006/relationships/hyperlink" Target="http://www.vcgr.vic.gov.au/CA2570C30016EEF3/wListOfVenues/0F364279E4841A4ACA257C690082F923?Open" TargetMode="External"/><Relationship Id="rId27" Type="http://schemas.openxmlformats.org/officeDocument/2006/relationships/hyperlink" Target="http://www.vcgr.vic.gov.au/CA2570C30016EEF3/wListOfVenues/40153F207843F47BCA257C690082F98D?Open" TargetMode="External"/><Relationship Id="rId48" Type="http://schemas.openxmlformats.org/officeDocument/2006/relationships/hyperlink" Target="http://www.vcgr.vic.gov.au/CA2570C30016EEF3/wListOfVenues/F87CEBE6020EE0ABCA257C690082F85B?Open" TargetMode="External"/><Relationship Id="rId69" Type="http://schemas.openxmlformats.org/officeDocument/2006/relationships/hyperlink" Target="http://www.vcgr.vic.gov.au/CA2570C30016EEF3/wListOfVenues/2BCD50802675F6BACA257C690082F94C?Open" TargetMode="External"/><Relationship Id="rId113" Type="http://schemas.openxmlformats.org/officeDocument/2006/relationships/hyperlink" Target="http://www.vcgr.vic.gov.au/CA2570C30016EEF3/wListOfVenues/614B44C87C60B708CA257C690082F9F8?Open" TargetMode="External"/><Relationship Id="rId134" Type="http://schemas.openxmlformats.org/officeDocument/2006/relationships/hyperlink" Target="http://www.vcgr.vic.gov.au/CA2570C30016EEF3/wListOfVenues/FF60CDFA1F755D50CA257C690082F8D3?Open" TargetMode="External"/><Relationship Id="rId320" Type="http://schemas.openxmlformats.org/officeDocument/2006/relationships/hyperlink" Target="http://www.vcgr.vic.gov.au/CA2570C30016EEF3/wListOfVenues/AA566860CFACDB2FCA257C690082F960?Open" TargetMode="External"/><Relationship Id="rId537" Type="http://schemas.openxmlformats.org/officeDocument/2006/relationships/hyperlink" Target="http://www.vcgr.vic.gov.au/CA2570C30016EEF3/wListOfVenues/B503CA8DECF26A02CA257C690082F8D0?Open" TargetMode="External"/><Relationship Id="rId80" Type="http://schemas.openxmlformats.org/officeDocument/2006/relationships/hyperlink" Target="http://www.vcgr.vic.gov.au/CA2570C30016EEF3/wListOfVenues/16EB074102F5E1A5CA257C690082F911?Open" TargetMode="External"/><Relationship Id="rId155" Type="http://schemas.openxmlformats.org/officeDocument/2006/relationships/hyperlink" Target="http://www.vcgr.vic.gov.au/CA2570C30016EEF3/wListOfVenues/F584740981A8026ACA257C690082F8A2?Open" TargetMode="External"/><Relationship Id="rId176" Type="http://schemas.openxmlformats.org/officeDocument/2006/relationships/hyperlink" Target="http://www.vcgr.vic.gov.au/CA2570C30016EEF3/wListOfVenues/1FF94FE28C0B5F5BCA257C690082F934?Open" TargetMode="External"/><Relationship Id="rId197" Type="http://schemas.openxmlformats.org/officeDocument/2006/relationships/hyperlink" Target="http://www.vcgr.vic.gov.au/CA2570C30016EEF3/wListOfVenues/BC3F1ED2509FF2D8CA257C690082F926?Open" TargetMode="External"/><Relationship Id="rId341" Type="http://schemas.openxmlformats.org/officeDocument/2006/relationships/hyperlink" Target="http://www.vcgr.vic.gov.au/CA2570C30016EEF3/wListOfVenues/B303293F64091C69CA257C690082F8CE?Open" TargetMode="External"/><Relationship Id="rId362" Type="http://schemas.openxmlformats.org/officeDocument/2006/relationships/hyperlink" Target="http://www.vcgr.vic.gov.au/CA2570C30016EEF3/wListOfVenues/3EE0039574B022CCCA257C690082F9DF?Open" TargetMode="External"/><Relationship Id="rId383" Type="http://schemas.openxmlformats.org/officeDocument/2006/relationships/hyperlink" Target="http://www.vcgr.vic.gov.au/CA2570C30016EEF3/wListOfVenues/FD4F17C845534016CA257C690082F9A2?Open" TargetMode="External"/><Relationship Id="rId418" Type="http://schemas.openxmlformats.org/officeDocument/2006/relationships/hyperlink" Target="http://www.vcgr.vic.gov.au/CA2570C30016EEF3/wListOfVenues/1A0A955DF0009C65CA257C690082F8E3?Open" TargetMode="External"/><Relationship Id="rId439" Type="http://schemas.openxmlformats.org/officeDocument/2006/relationships/hyperlink" Target="http://www.vcgr.vic.gov.au/CA2570C30016EEF3/wListOfVenues/94053A00220D3598CA257C690082F956?Open" TargetMode="External"/><Relationship Id="rId201" Type="http://schemas.openxmlformats.org/officeDocument/2006/relationships/hyperlink" Target="http://www.vcgr.vic.gov.au/CA2570C30016EEF3/wListOfVenues/9514C4F46DB7F31DCA257C690082F9D0?Open" TargetMode="External"/><Relationship Id="rId222" Type="http://schemas.openxmlformats.org/officeDocument/2006/relationships/hyperlink" Target="http://www.vcgr.vic.gov.au/CA2570C30016EEF3/wListOfVenues/6B911607CB075B87CA257C690082F8EE?Open" TargetMode="External"/><Relationship Id="rId243" Type="http://schemas.openxmlformats.org/officeDocument/2006/relationships/hyperlink" Target="http://www.vcgr.vic.gov.au/CA2570C30016EEF3/wListOfVenues/901F59D8E46852AFCA257C690082F96A?Open" TargetMode="External"/><Relationship Id="rId264" Type="http://schemas.openxmlformats.org/officeDocument/2006/relationships/hyperlink" Target="http://www.vcgr.vic.gov.au/CA2570C30016EEF3/wListOfVenues/76147ED596FAE19ECA257C690082F821?Open" TargetMode="External"/><Relationship Id="rId285" Type="http://schemas.openxmlformats.org/officeDocument/2006/relationships/hyperlink" Target="http://www.vcgr.vic.gov.au/CA2570C30016EEF3/wListOfVenues/B1C73A727B2F72A5CA257C690082F905?Open" TargetMode="External"/><Relationship Id="rId450" Type="http://schemas.openxmlformats.org/officeDocument/2006/relationships/hyperlink" Target="http://www.vcgr.vic.gov.au/CA2570C30016EEF3/wListOfVenues/62E8DD8354F84573CA257C690082F918?Open" TargetMode="External"/><Relationship Id="rId471" Type="http://schemas.openxmlformats.org/officeDocument/2006/relationships/hyperlink" Target="http://www.vcgr.vic.gov.au/CA2570C30016EEF3/wListOfVenues/9004EF16FF560C7DCA257C690082F950?Open" TargetMode="External"/><Relationship Id="rId506" Type="http://schemas.openxmlformats.org/officeDocument/2006/relationships/hyperlink" Target="http://www.vcgr.vic.gov.au/CA2570C30016EEF3/wListOfVenues/F4A3206D3DF0702CCA257C690082F961?Open" TargetMode="External"/><Relationship Id="rId17" Type="http://schemas.openxmlformats.org/officeDocument/2006/relationships/hyperlink" Target="http://www.vcgr.vic.gov.au/CA2570C30016EEF3/wListOfVenues/A1982AE03F0C4ED8CA257C690082F9B3?Open" TargetMode="External"/><Relationship Id="rId38" Type="http://schemas.openxmlformats.org/officeDocument/2006/relationships/hyperlink" Target="http://www.vcgr.vic.gov.au/CA2570C30016EEF3/wListOfVenues/30E8C9079106B5C5CA257C690082F9B7?Open" TargetMode="External"/><Relationship Id="rId59" Type="http://schemas.openxmlformats.org/officeDocument/2006/relationships/hyperlink" Target="http://www.vcgr.vic.gov.au/CA2570C30016EEF3/wListOfVenues/0753BB160414CE90CA257C690082F846?Open" TargetMode="External"/><Relationship Id="rId103" Type="http://schemas.openxmlformats.org/officeDocument/2006/relationships/hyperlink" Target="http://www.vcgr.vic.gov.au/CA2570C30016EEF3/wListOfVenues/C98E86048A548F97CA257C690082F9A8?Open" TargetMode="External"/><Relationship Id="rId124" Type="http://schemas.openxmlformats.org/officeDocument/2006/relationships/hyperlink" Target="http://www.vcgr.vic.gov.au/CA2570C30016EEF3/wListOfVenues/A48C43164C803217CA257C690082F9B6?Open" TargetMode="External"/><Relationship Id="rId310" Type="http://schemas.openxmlformats.org/officeDocument/2006/relationships/hyperlink" Target="http://www.vcgr.vic.gov.au/CA2570C30016EEF3/wListOfVenues/61A2812EECCB28B1CA257C690082F863?Open" TargetMode="External"/><Relationship Id="rId492" Type="http://schemas.openxmlformats.org/officeDocument/2006/relationships/hyperlink" Target="http://www.vcgr.vic.gov.au/CA2570C30016EEF3/wListOfVenues/BBC028A7140E937CCA257C690082F8B3?Open" TargetMode="External"/><Relationship Id="rId527" Type="http://schemas.openxmlformats.org/officeDocument/2006/relationships/hyperlink" Target="http://www.vcgr.vic.gov.au/CA2570C30016EEF3/wListOfVenues/C0750551AA5E5C34CA257C690082F97B?Open" TargetMode="External"/><Relationship Id="rId70" Type="http://schemas.openxmlformats.org/officeDocument/2006/relationships/hyperlink" Target="http://www.vcgr.vic.gov.au/CA2570C30016EEF3/wListOfVenues/E82F7637E991FE82CA257C690082F7F3?Open" TargetMode="External"/><Relationship Id="rId91" Type="http://schemas.openxmlformats.org/officeDocument/2006/relationships/hyperlink" Target="http://www.vcgr.vic.gov.au/CA2570C30016EEF3/wListOfVenues/6E2EE5A7F10C3B84CA257C690082F8A3?Open" TargetMode="External"/><Relationship Id="rId145" Type="http://schemas.openxmlformats.org/officeDocument/2006/relationships/hyperlink" Target="http://www.vcgr.vic.gov.au/CA2570C30016EEF3/wListOfVenues/52F77EB23684138DCA257C690082F8F9?Open" TargetMode="External"/><Relationship Id="rId166" Type="http://schemas.openxmlformats.org/officeDocument/2006/relationships/hyperlink" Target="http://www.vcgr.vic.gov.au/CA2570C30016EEF3/wListOfVenues/C32065975B191168CA257C690082F839?Open" TargetMode="External"/><Relationship Id="rId187" Type="http://schemas.openxmlformats.org/officeDocument/2006/relationships/hyperlink" Target="http://www.vcgr.vic.gov.au/CA2570C30016EEF3/wListOfVenues/02D7E030A14FE1F5CA257C690082F845?Open" TargetMode="External"/><Relationship Id="rId331" Type="http://schemas.openxmlformats.org/officeDocument/2006/relationships/hyperlink" Target="http://www.vcgr.vic.gov.au/CA2570C30016EEF3/wListOfVenues/7ADDC9D6B7D8A1B7CA257C690082F9CB?Open" TargetMode="External"/><Relationship Id="rId352" Type="http://schemas.openxmlformats.org/officeDocument/2006/relationships/hyperlink" Target="http://www.vcgr.vic.gov.au/CA2570C30016EEF3/wListOfVenues/DAF8C6EFEBB432DCCA257C690082F90E?Open" TargetMode="External"/><Relationship Id="rId373" Type="http://schemas.openxmlformats.org/officeDocument/2006/relationships/hyperlink" Target="http://www.vcgr.vic.gov.au/CA2570C30016EEF3/wListOfVenues/890E62CD90BF1713CA257C690082F847?Open" TargetMode="External"/><Relationship Id="rId394" Type="http://schemas.openxmlformats.org/officeDocument/2006/relationships/hyperlink" Target="http://www.vcgr.vic.gov.au/CA2570C30016EEF3/wListOfVenues/A94B36B164CFAC4ACA257C690082F9C6?Open" TargetMode="External"/><Relationship Id="rId408" Type="http://schemas.openxmlformats.org/officeDocument/2006/relationships/hyperlink" Target="http://www.vcgr.vic.gov.au/CA2570C30016EEF3/wListOfVenues/7B321CED4C9B61FBCA257C690082F9C3?Open" TargetMode="External"/><Relationship Id="rId429" Type="http://schemas.openxmlformats.org/officeDocument/2006/relationships/hyperlink" Target="http://www.vcgr.vic.gov.au/CA2570C30016EEF3/wListOfVenues/3CBC2DCBC3E7DE70CA257C690082F8B1?Open" TargetMode="External"/><Relationship Id="rId1" Type="http://schemas.openxmlformats.org/officeDocument/2006/relationships/hyperlink" Target="http://www.vcgr.vic.gov.au/CA2570C30016EEF3/wListOfVenues/C5E860A09A787643CA257C690082F940?Open" TargetMode="External"/><Relationship Id="rId212" Type="http://schemas.openxmlformats.org/officeDocument/2006/relationships/hyperlink" Target="http://www.vcgr.vic.gov.au/CA2570C30016EEF3/wListOfVenues/31205F7A2B8B905FCA257C690082F875?Open" TargetMode="External"/><Relationship Id="rId233" Type="http://schemas.openxmlformats.org/officeDocument/2006/relationships/hyperlink" Target="http://www.vcgr.vic.gov.au/CA2570C30016EEF3/wListOfVenues/881F9B4D07052D04CA257C690082F900?Open" TargetMode="External"/><Relationship Id="rId254" Type="http://schemas.openxmlformats.org/officeDocument/2006/relationships/hyperlink" Target="http://www.vcgr.vic.gov.au/CA2570C30016EEF3/wListOfVenues/2888426133B09BBDCA257C690082F953?Open" TargetMode="External"/><Relationship Id="rId440" Type="http://schemas.openxmlformats.org/officeDocument/2006/relationships/hyperlink" Target="http://www.vcgr.vic.gov.au/CA2570C30016EEF3/wListOfVenues/C0B74CD6DCC89D30CA257C690082F8FE?Open" TargetMode="External"/><Relationship Id="rId28" Type="http://schemas.openxmlformats.org/officeDocument/2006/relationships/hyperlink" Target="http://www.vcgr.vic.gov.au/CA2570C30016EEF3/wListOfVenues/77437A19A71900C0CA257C690082F8AB?Open" TargetMode="External"/><Relationship Id="rId49" Type="http://schemas.openxmlformats.org/officeDocument/2006/relationships/hyperlink" Target="http://www.vcgr.vic.gov.au/CA2570C30016EEF3/wListOfVenues/A89B42BA4F3F432FCA257C690082F947?Open" TargetMode="External"/><Relationship Id="rId114" Type="http://schemas.openxmlformats.org/officeDocument/2006/relationships/hyperlink" Target="http://www.vcgr.vic.gov.au/CA2570C30016EEF3/wListOfVenues/AD44D813FC49509ECA257C690082F829?Open" TargetMode="External"/><Relationship Id="rId275" Type="http://schemas.openxmlformats.org/officeDocument/2006/relationships/hyperlink" Target="http://www.vcgr.vic.gov.au/CA2570C30016EEF3/wListOfVenues/D3DE4A2AB2EDF379CA257C690082F84D?Open" TargetMode="External"/><Relationship Id="rId296" Type="http://schemas.openxmlformats.org/officeDocument/2006/relationships/hyperlink" Target="http://www.vcgr.vic.gov.au/CA2570C30016EEF3/wListOfVenues/45707195234F87FECA257C690082F9D5?Open" TargetMode="External"/><Relationship Id="rId300" Type="http://schemas.openxmlformats.org/officeDocument/2006/relationships/hyperlink" Target="http://www.vcgr.vic.gov.au/CA2570C30016EEF3/wListOfVenues/FE82C66A12C422F8CA257C690082F86E?Open" TargetMode="External"/><Relationship Id="rId461" Type="http://schemas.openxmlformats.org/officeDocument/2006/relationships/hyperlink" Target="http://www.vcgr.vic.gov.au/CA2570C30016EEF3/wListOfVenues/6CCEF6EAD3FCC882CA257C690082F89F?Open" TargetMode="External"/><Relationship Id="rId482" Type="http://schemas.openxmlformats.org/officeDocument/2006/relationships/hyperlink" Target="http://www.vcgr.vic.gov.au/CA2570C30016EEF3/wListOfVenues/F00824676FC3992CCA257C690082F92F?Open" TargetMode="External"/><Relationship Id="rId517" Type="http://schemas.openxmlformats.org/officeDocument/2006/relationships/hyperlink" Target="http://www.vcgr.vic.gov.au/CA2570C30016EEF3/wListOfVenues/E3980F0B650E9550CA257C690082F99B?Open" TargetMode="External"/><Relationship Id="rId538" Type="http://schemas.openxmlformats.org/officeDocument/2006/relationships/hyperlink" Target="http://www.vcgr.vic.gov.au/CA2570C30016EEF3/wListOfVenues/5FDE4023AE2E61ACCA257C690082F9EC?Open" TargetMode="External"/><Relationship Id="rId60" Type="http://schemas.openxmlformats.org/officeDocument/2006/relationships/hyperlink" Target="http://www.vcgr.vic.gov.au/CA2570C30016EEF3/wListOfVenues/A852402F08EFE7E3CA257C690082F8B4?Open" TargetMode="External"/><Relationship Id="rId81" Type="http://schemas.openxmlformats.org/officeDocument/2006/relationships/hyperlink" Target="http://www.vcgr.vic.gov.au/CA2570C30016EEF3/wListOfVenues/C4EE0FEB5DDA8B78CA257C690082F94A?Open" TargetMode="External"/><Relationship Id="rId135" Type="http://schemas.openxmlformats.org/officeDocument/2006/relationships/hyperlink" Target="http://www.vcgr.vic.gov.au/CA2570C30016EEF3/wListOfVenues/66F1DEC9C3F1EE69CA257C690082F803?Open" TargetMode="External"/><Relationship Id="rId156" Type="http://schemas.openxmlformats.org/officeDocument/2006/relationships/hyperlink" Target="http://www.vcgr.vic.gov.au/CA2570C30016EEF3/wListOfVenues/2BC42C6C23E1BF46CA257C690082F909?Open" TargetMode="External"/><Relationship Id="rId177" Type="http://schemas.openxmlformats.org/officeDocument/2006/relationships/hyperlink" Target="http://www.vcgr.vic.gov.au/CA2570C30016EEF3/wListOfVenues/89AEAAE6F36613A5CA257C690082F9F4?Open" TargetMode="External"/><Relationship Id="rId198" Type="http://schemas.openxmlformats.org/officeDocument/2006/relationships/hyperlink" Target="http://www.vcgr.vic.gov.au/CA2570C30016EEF3/wListOfVenues/1471C0479E754664CA257C690082F9FF?Open" TargetMode="External"/><Relationship Id="rId321" Type="http://schemas.openxmlformats.org/officeDocument/2006/relationships/hyperlink" Target="http://www.vcgr.vic.gov.au/CA2570C30016EEF3/wListOfVenues/521824BF22B44E43CA257C690082F8AA?Open" TargetMode="External"/><Relationship Id="rId342" Type="http://schemas.openxmlformats.org/officeDocument/2006/relationships/hyperlink" Target="http://www.vcgr.vic.gov.au/CA2570C30016EEF3/wListOfVenues/466FE2DDACE21DDBCA257C690082F8A9?Open" TargetMode="External"/><Relationship Id="rId363" Type="http://schemas.openxmlformats.org/officeDocument/2006/relationships/hyperlink" Target="http://www.vcgr.vic.gov.au/CA2570C30016EEF3/wListOfVenues/8BED124B5CAA12EECA257C690082F917?Open" TargetMode="External"/><Relationship Id="rId384" Type="http://schemas.openxmlformats.org/officeDocument/2006/relationships/hyperlink" Target="http://www.vcgr.vic.gov.au/CA2570C30016EEF3/wListOfVenues/76D5AEF624E37494CA257C690082FA04?Open" TargetMode="External"/><Relationship Id="rId419" Type="http://schemas.openxmlformats.org/officeDocument/2006/relationships/hyperlink" Target="http://www.vcgr.vic.gov.au/CA2570C30016EEF3/wListOfVenues/C5BD68FC882FB31CCA257C690082F910?Open" TargetMode="External"/><Relationship Id="rId202" Type="http://schemas.openxmlformats.org/officeDocument/2006/relationships/hyperlink" Target="http://www.vcgr.vic.gov.au/CA2570C30016EEF3/wListOfVenues/71A0AA8B57F355E0CA257C690082F928?Open" TargetMode="External"/><Relationship Id="rId223" Type="http://schemas.openxmlformats.org/officeDocument/2006/relationships/hyperlink" Target="http://www.vcgr.vic.gov.au/CA2570C30016EEF3/wListOfVenues/52FB6360610D7F46CA257C690082F881?Open" TargetMode="External"/><Relationship Id="rId244" Type="http://schemas.openxmlformats.org/officeDocument/2006/relationships/hyperlink" Target="http://www.vcgr.vic.gov.au/CA2570C30016EEF3/wListOfVenues/40415A5EC15D2A6FCA257C690082F80D?Open" TargetMode="External"/><Relationship Id="rId430" Type="http://schemas.openxmlformats.org/officeDocument/2006/relationships/hyperlink" Target="http://www.vcgr.vic.gov.au/CA2570C30016EEF3/wListOfVenues/5144148198C5C23FCA257C690082F931?Open" TargetMode="External"/><Relationship Id="rId18" Type="http://schemas.openxmlformats.org/officeDocument/2006/relationships/hyperlink" Target="http://www.vcgr.vic.gov.au/CA2570C30016EEF3/wListOfVenues/EDBD278E90ED1E16CA257C690082F948?Open" TargetMode="External"/><Relationship Id="rId39" Type="http://schemas.openxmlformats.org/officeDocument/2006/relationships/hyperlink" Target="http://www.vcgr.vic.gov.au/CA2570C30016EEF3/wListOfVenues/F02B8486500C2428CA257C690082F9E4?Open" TargetMode="External"/><Relationship Id="rId265" Type="http://schemas.openxmlformats.org/officeDocument/2006/relationships/hyperlink" Target="http://www.vcgr.vic.gov.au/CA2570C30016EEF3/wListOfVenues/9C9FD81B23A8A759CA257C690082F835?Open" TargetMode="External"/><Relationship Id="rId286" Type="http://schemas.openxmlformats.org/officeDocument/2006/relationships/hyperlink" Target="http://www.vcgr.vic.gov.au/CA2570C30016EEF3/wListOfVenues/BCE2DD1BCAA2D438CA257C690082F84C?Open" TargetMode="External"/><Relationship Id="rId451" Type="http://schemas.openxmlformats.org/officeDocument/2006/relationships/hyperlink" Target="http://www.vcgr.vic.gov.au/CA2570C30016EEF3/wListOfVenues/BA3D2851C461877CCA257C690082F96C?Open" TargetMode="External"/><Relationship Id="rId472" Type="http://schemas.openxmlformats.org/officeDocument/2006/relationships/hyperlink" Target="http://www.vcgr.vic.gov.au/CA2570C30016EEF3/wListOfVenues/40734C6390488333CA257C690082F82A?Open" TargetMode="External"/><Relationship Id="rId493" Type="http://schemas.openxmlformats.org/officeDocument/2006/relationships/hyperlink" Target="http://www.vcgr.vic.gov.au/CA2570C30016EEF3/wListOfVenues/6CDB1744B841D684CA257C690082F9AF?Open" TargetMode="External"/><Relationship Id="rId507" Type="http://schemas.openxmlformats.org/officeDocument/2006/relationships/hyperlink" Target="http://www.vcgr.vic.gov.au/CA2570C30016EEF3/wListOfVenues/2B354466509CE747CA257C690082F8C2?Open" TargetMode="External"/><Relationship Id="rId528" Type="http://schemas.openxmlformats.org/officeDocument/2006/relationships/hyperlink" Target="http://www.vcgr.vic.gov.au/CA2570C30016EEF3/wListOfVenues/5C97D174DA12279FCA257C690082F9B1?Open" TargetMode="External"/><Relationship Id="rId50" Type="http://schemas.openxmlformats.org/officeDocument/2006/relationships/hyperlink" Target="http://www.vcgr.vic.gov.au/CA2570C30016EEF3/wListOfVenues/EB5E34C86E24BBA7CA257C690082F968?Open" TargetMode="External"/><Relationship Id="rId104" Type="http://schemas.openxmlformats.org/officeDocument/2006/relationships/hyperlink" Target="http://www.vcgr.vic.gov.au/CA2570C30016EEF3/wListOfVenues/10F3A57C9C6AD971CA257C690082F992?Open" TargetMode="External"/><Relationship Id="rId125" Type="http://schemas.openxmlformats.org/officeDocument/2006/relationships/hyperlink" Target="http://www.vcgr.vic.gov.au/CA2570C30016EEF3/wListOfVenues/3053C02182D087DCCA257C690082F921?Open" TargetMode="External"/><Relationship Id="rId146" Type="http://schemas.openxmlformats.org/officeDocument/2006/relationships/hyperlink" Target="http://www.vcgr.vic.gov.au/CA2570C30016EEF3/wListOfVenues/96A63387CFE16EC1CA257C690082FA01?Open" TargetMode="External"/><Relationship Id="rId167" Type="http://schemas.openxmlformats.org/officeDocument/2006/relationships/hyperlink" Target="http://www.vcgr.vic.gov.au/CA2570C30016EEF3/wListOfVenues/209619C9E788B01ECA257C690082F853?Open" TargetMode="External"/><Relationship Id="rId188" Type="http://schemas.openxmlformats.org/officeDocument/2006/relationships/hyperlink" Target="http://www.vcgr.vic.gov.au/CA2570C30016EEF3/wListOfVenues/885564CC2779DB4DCA257C690082F89A?Open" TargetMode="External"/><Relationship Id="rId311" Type="http://schemas.openxmlformats.org/officeDocument/2006/relationships/hyperlink" Target="http://www.vcgr.vic.gov.au/CA2570C30016EEF3/wListOfVenues/D7EB1F004A6F9A49CA257C690082F80E?Open" TargetMode="External"/><Relationship Id="rId332" Type="http://schemas.openxmlformats.org/officeDocument/2006/relationships/hyperlink" Target="http://www.vcgr.vic.gov.au/CA2570C30016EEF3/wListOfVenues/34200609826910F2CA257C690082F99C?Open" TargetMode="External"/><Relationship Id="rId353" Type="http://schemas.openxmlformats.org/officeDocument/2006/relationships/hyperlink" Target="http://www.vcgr.vic.gov.au/CA2570C30016EEF3/wListOfVenues/A22CF5B2718ADAE6CA257C690082F9F5?Open" TargetMode="External"/><Relationship Id="rId374" Type="http://schemas.openxmlformats.org/officeDocument/2006/relationships/hyperlink" Target="http://www.vcgr.vic.gov.au/CA2570C30016EEF3/wListOfVenues/A7663015A1D5EB37CA257C690082F8C5?Open" TargetMode="External"/><Relationship Id="rId395" Type="http://schemas.openxmlformats.org/officeDocument/2006/relationships/hyperlink" Target="http://www.vcgr.vic.gov.au/CA2570C30016EEF3/wListOfVenues/128D14D431569D53CA257C690082F8E0?Open" TargetMode="External"/><Relationship Id="rId409" Type="http://schemas.openxmlformats.org/officeDocument/2006/relationships/hyperlink" Target="http://www.vcgr.vic.gov.au/CA2570C30016EEF3/wListOfVenues/127635F4056B5644CA257C690082F91D?Open" TargetMode="External"/><Relationship Id="rId71" Type="http://schemas.openxmlformats.org/officeDocument/2006/relationships/hyperlink" Target="http://www.vcgr.vic.gov.au/CA2570C30016EEF3/wListOfVenues/6FA3DBF4E8FAC896CA257C690082F994?Open" TargetMode="External"/><Relationship Id="rId92" Type="http://schemas.openxmlformats.org/officeDocument/2006/relationships/hyperlink" Target="http://www.vcgr.vic.gov.au/CA2570C30016EEF3/wListOfVenues/D0A49D433DCCF4CACA257C690082F91E?Open" TargetMode="External"/><Relationship Id="rId213" Type="http://schemas.openxmlformats.org/officeDocument/2006/relationships/hyperlink" Target="http://www.vcgr.vic.gov.au/CA2570C30016EEF3/wListOfVenues/DAEA8821FA25559BCA257C690082F8F4?Open" TargetMode="External"/><Relationship Id="rId234" Type="http://schemas.openxmlformats.org/officeDocument/2006/relationships/hyperlink" Target="http://www.vcgr.vic.gov.au/CA2570C30016EEF3/wListOfVenues/E7E88F7EED239415CA257C690082F8EC?Open" TargetMode="External"/><Relationship Id="rId420" Type="http://schemas.openxmlformats.org/officeDocument/2006/relationships/hyperlink" Target="http://www.vcgr.vic.gov.au/CA2570C30016EEF3/wListOfVenues/2ED3DA0881387558CA257C690082F9B9?Open" TargetMode="External"/><Relationship Id="rId2" Type="http://schemas.openxmlformats.org/officeDocument/2006/relationships/hyperlink" Target="http://www.vcgr.vic.gov.au/CA2570C30016EEF3/wListOfVenues/569076CD6FE722E0CA257C690082F8FB?Open" TargetMode="External"/><Relationship Id="rId29" Type="http://schemas.openxmlformats.org/officeDocument/2006/relationships/hyperlink" Target="http://www.vcgr.vic.gov.au/CA2570C30016EEF3/wListOfVenues/FD81C97B4FEE6883CA257C690082F927?Open" TargetMode="External"/><Relationship Id="rId255" Type="http://schemas.openxmlformats.org/officeDocument/2006/relationships/hyperlink" Target="http://www.vcgr.vic.gov.au/CA2570C30016EEF3/wListOfVenues/00B00FB138196292CA257C690082F92D?Open" TargetMode="External"/><Relationship Id="rId276" Type="http://schemas.openxmlformats.org/officeDocument/2006/relationships/hyperlink" Target="http://www.vcgr.vic.gov.au/CA2570C30016EEF3/wListOfVenues/6F5969468765EF21CA257C690082F997?Open" TargetMode="External"/><Relationship Id="rId297" Type="http://schemas.openxmlformats.org/officeDocument/2006/relationships/hyperlink" Target="http://www.vcgr.vic.gov.au/CA2570C30016EEF3/wListOfVenues/59EEE76161512110CA257C690082F8F8?Open" TargetMode="External"/><Relationship Id="rId441" Type="http://schemas.openxmlformats.org/officeDocument/2006/relationships/hyperlink" Target="http://www.vcgr.vic.gov.au/CA2570C30016EEF3/wListOfVenues/EB18A26E5479B2EFCA257C690082F806?Open" TargetMode="External"/><Relationship Id="rId462" Type="http://schemas.openxmlformats.org/officeDocument/2006/relationships/hyperlink" Target="http://www.vcgr.vic.gov.au/CA2570C30016EEF3/wListOfVenues/6B25220D250552EDCA257C690082F9AB?Open" TargetMode="External"/><Relationship Id="rId483" Type="http://schemas.openxmlformats.org/officeDocument/2006/relationships/hyperlink" Target="http://www.vcgr.vic.gov.au/CA2570C30016EEF3/wListOfVenues/4FD18FE395D1ECC3CA257C690082F977?Open" TargetMode="External"/><Relationship Id="rId518" Type="http://schemas.openxmlformats.org/officeDocument/2006/relationships/hyperlink" Target="http://www.vcgr.vic.gov.au/CA2570C30016EEF3/wListOfVenues/018B241FFBBB01FDCA257C690082F836?Open" TargetMode="External"/><Relationship Id="rId539" Type="http://schemas.openxmlformats.org/officeDocument/2006/relationships/hyperlink" Target="http://www.vcgr.vic.gov.au/CA2570C30016EEF3/wListOfVenues/1EF2BE3174B392C2CA257C690082F8D4?Open" TargetMode="External"/><Relationship Id="rId40" Type="http://schemas.openxmlformats.org/officeDocument/2006/relationships/hyperlink" Target="http://www.vcgr.vic.gov.au/CA2570C30016EEF3/wListOfVenues/5E3AB2E349D2D201CA257C690082F805?Open" TargetMode="External"/><Relationship Id="rId115" Type="http://schemas.openxmlformats.org/officeDocument/2006/relationships/hyperlink" Target="http://www.vcgr.vic.gov.au/CA2570C30016EEF3/wListOfVenues/29271C001F2FD865CA257C690082F889?Open" TargetMode="External"/><Relationship Id="rId136" Type="http://schemas.openxmlformats.org/officeDocument/2006/relationships/hyperlink" Target="http://www.vcgr.vic.gov.au/CA2570C30016EEF3/wListOfVenues/947FF72915DF70BECA257C690082F825?Open" TargetMode="External"/><Relationship Id="rId157" Type="http://schemas.openxmlformats.org/officeDocument/2006/relationships/hyperlink" Target="http://www.vcgr.vic.gov.au/CA2570C30016EEF3/wListOfVenues/AD006374B3EBA0ECCA257C690082F86B?Open" TargetMode="External"/><Relationship Id="rId178" Type="http://schemas.openxmlformats.org/officeDocument/2006/relationships/hyperlink" Target="http://www.vcgr.vic.gov.au/CA2570C30016EEF3/wListOfVenues/245E7CAC91A56F49CA257C690082F8C9?Open" TargetMode="External"/><Relationship Id="rId301" Type="http://schemas.openxmlformats.org/officeDocument/2006/relationships/hyperlink" Target="http://www.vcgr.vic.gov.au/CA2570C30016EEF3/wListOfVenues/A425728092A68F2FCA257C690082F811?Open" TargetMode="External"/><Relationship Id="rId322" Type="http://schemas.openxmlformats.org/officeDocument/2006/relationships/hyperlink" Target="http://www.vcgr.vic.gov.au/CA2570C30016EEF3/wListOfVenues/B47CF0A68CBA85ECCA257C690082F91B?Open" TargetMode="External"/><Relationship Id="rId343" Type="http://schemas.openxmlformats.org/officeDocument/2006/relationships/hyperlink" Target="http://www.vcgr.vic.gov.au/CA2570C30016EEF3/wListOfVenues/A43A3B7F600A3C9FCA257C690082F97F?Open" TargetMode="External"/><Relationship Id="rId364" Type="http://schemas.openxmlformats.org/officeDocument/2006/relationships/hyperlink" Target="http://www.vcgr.vic.gov.au/CA2570C30016EEF3/wListOfVenues/B066B9CF8AE2F6AACA257C690082F8CA?Open" TargetMode="External"/><Relationship Id="rId61" Type="http://schemas.openxmlformats.org/officeDocument/2006/relationships/hyperlink" Target="http://www.vcgr.vic.gov.au/CA2570C30016EEF3/wListOfVenues/4FC6E52E5B90B7EBCA257C690082F8CD?Open" TargetMode="External"/><Relationship Id="rId82" Type="http://schemas.openxmlformats.org/officeDocument/2006/relationships/hyperlink" Target="http://www.vcgr.vic.gov.au/CA2570C30016EEF3/wListOfVenues/F6B502BBA6D5E98CCA257C690082F824?Open" TargetMode="External"/><Relationship Id="rId199" Type="http://schemas.openxmlformats.org/officeDocument/2006/relationships/hyperlink" Target="http://www.vcgr.vic.gov.au/CA2570C30016EEF3/wListOfVenues/CA7A10BB9B38B05ACA257C690082F82D?Open" TargetMode="External"/><Relationship Id="rId203" Type="http://schemas.openxmlformats.org/officeDocument/2006/relationships/hyperlink" Target="http://www.vcgr.vic.gov.au/CA2570C30016EEF3/wListOfVenues/5A77959BD4FA3F85CA257C690082F8B6?Open" TargetMode="External"/><Relationship Id="rId385" Type="http://schemas.openxmlformats.org/officeDocument/2006/relationships/hyperlink" Target="http://www.vcgr.vic.gov.au/CA2570C30016EEF3/wListOfVenues/B51B2161CA1D90B5CA257C690082F9EA?Open" TargetMode="External"/><Relationship Id="rId19" Type="http://schemas.openxmlformats.org/officeDocument/2006/relationships/hyperlink" Target="http://www.vcgr.vic.gov.au/CA2570C30016EEF3/wListOfVenues/B0423CF48B50F0FCCA257C690082F9DC?Open" TargetMode="External"/><Relationship Id="rId224" Type="http://schemas.openxmlformats.org/officeDocument/2006/relationships/hyperlink" Target="http://www.vcgr.vic.gov.au/CA2570C30016EEF3/wListOfVenues/C0F7ABB8BC3E1911CA257C690082F7F4?Open" TargetMode="External"/><Relationship Id="rId245" Type="http://schemas.openxmlformats.org/officeDocument/2006/relationships/hyperlink" Target="http://www.vcgr.vic.gov.au/CA2570C30016EEF3/wListOfVenues/49CFEA411A17A40FCA257C690082F8C8?Open" TargetMode="External"/><Relationship Id="rId266" Type="http://schemas.openxmlformats.org/officeDocument/2006/relationships/hyperlink" Target="http://www.vcgr.vic.gov.au/CA2570C30016EEF3/wListOfVenues/A4770D349C957646CA257C690082F8E6?Open" TargetMode="External"/><Relationship Id="rId287" Type="http://schemas.openxmlformats.org/officeDocument/2006/relationships/hyperlink" Target="http://www.vcgr.vic.gov.au/CA2570C30016EEF3/wListOfVenues/7AC33348E3670FF8CA257C690082F7FE?Open" TargetMode="External"/><Relationship Id="rId410" Type="http://schemas.openxmlformats.org/officeDocument/2006/relationships/hyperlink" Target="http://www.vcgr.vic.gov.au/CA2570C30016EEF3/wListOfVenues/D7A3596F21251221CA257C690082F817?Open" TargetMode="External"/><Relationship Id="rId431" Type="http://schemas.openxmlformats.org/officeDocument/2006/relationships/hyperlink" Target="http://www.vcgr.vic.gov.au/CA2570C30016EEF3/wListOfVenues/30E24EFA4DC72868CA257C690082F80B?Open" TargetMode="External"/><Relationship Id="rId452" Type="http://schemas.openxmlformats.org/officeDocument/2006/relationships/hyperlink" Target="http://www.vcgr.vic.gov.au/CA2570C30016EEF3/wListOfVenues/8353347ED3C63C59CA257C690082F8E8?Open" TargetMode="External"/><Relationship Id="rId473" Type="http://schemas.openxmlformats.org/officeDocument/2006/relationships/hyperlink" Target="http://www.vcgr.vic.gov.au/CA2570C30016EEF3/wListOfVenues/8A96A285C8B999ADCA257C690082F9A1?Open" TargetMode="External"/><Relationship Id="rId494" Type="http://schemas.openxmlformats.org/officeDocument/2006/relationships/hyperlink" Target="http://www.vcgr.vic.gov.au/CA2570C30016EEF3/wListOfVenues/DE06CB658979C620CA257C690082F8BD?Open" TargetMode="External"/><Relationship Id="rId508" Type="http://schemas.openxmlformats.org/officeDocument/2006/relationships/hyperlink" Target="http://www.vcgr.vic.gov.au/CA2570C30016EEF3/wListOfVenues/4EABAAAAD1822E6ACA257C690082F9F7?Open" TargetMode="External"/><Relationship Id="rId529" Type="http://schemas.openxmlformats.org/officeDocument/2006/relationships/hyperlink" Target="http://www.vcgr.vic.gov.au/CA2570C30016EEF3/wListOfVenues/9488D230FFE4040ECA257C690082F834?Open" TargetMode="External"/><Relationship Id="rId30" Type="http://schemas.openxmlformats.org/officeDocument/2006/relationships/hyperlink" Target="http://www.vcgr.vic.gov.au/CA2570C30016EEF3/wListOfVenues/36233887198B4585CA257C690082F904?Open" TargetMode="External"/><Relationship Id="rId105" Type="http://schemas.openxmlformats.org/officeDocument/2006/relationships/hyperlink" Target="http://www.vcgr.vic.gov.au/CA2570C30016EEF3/wListOfVenues/CB21388BEB9A0A17CA257C690082F8F6?Open" TargetMode="External"/><Relationship Id="rId126" Type="http://schemas.openxmlformats.org/officeDocument/2006/relationships/hyperlink" Target="http://www.vcgr.vic.gov.au/CA2570C30016EEF3/wListOfVenues/7A946810C0C8CA1CCA257C690082F7FA?Open" TargetMode="External"/><Relationship Id="rId147" Type="http://schemas.openxmlformats.org/officeDocument/2006/relationships/hyperlink" Target="http://www.vcgr.vic.gov.au/CA2570C30016EEF3/wListOfVenues/7D6C3F06A06D6579CA257C690082F979?Open" TargetMode="External"/><Relationship Id="rId168" Type="http://schemas.openxmlformats.org/officeDocument/2006/relationships/hyperlink" Target="http://www.vcgr.vic.gov.au/CA2570C30016EEF3/wListOfVenues/CDC615CE6D39B063CA257C690082F87F?Open" TargetMode="External"/><Relationship Id="rId312" Type="http://schemas.openxmlformats.org/officeDocument/2006/relationships/hyperlink" Target="http://www.vcgr.vic.gov.au/CA2570C30016EEF3/wListOfVenues/CA074CAAD1499D69CA257C690082F80A?Open" TargetMode="External"/><Relationship Id="rId333" Type="http://schemas.openxmlformats.org/officeDocument/2006/relationships/hyperlink" Target="http://www.vcgr.vic.gov.au/CA2570C30016EEF3/wListOfVenues/F611B4B9150BD644CA257C690082F87C?Open" TargetMode="External"/><Relationship Id="rId354" Type="http://schemas.openxmlformats.org/officeDocument/2006/relationships/hyperlink" Target="http://www.vcgr.vic.gov.au/CA2570C30016EEF3/wListOfVenues/EA996ED498DEF768CA257C690082F9B5?Open" TargetMode="External"/><Relationship Id="rId540" Type="http://schemas.openxmlformats.org/officeDocument/2006/relationships/hyperlink" Target="http://www.vcgr.vic.gov.au/CA2570C30016EEF3/wListOfVenues/610AC9008B7AC17ACA257A480020AE73?Open" TargetMode="External"/><Relationship Id="rId51" Type="http://schemas.openxmlformats.org/officeDocument/2006/relationships/hyperlink" Target="http://www.vcgr.vic.gov.au/CA2570C30016EEF3/wListOfVenues/FF6CB59D525621FACA257C690082F8CB?Open" TargetMode="External"/><Relationship Id="rId72" Type="http://schemas.openxmlformats.org/officeDocument/2006/relationships/hyperlink" Target="http://www.vcgr.vic.gov.au/CA2570C30016EEF3/wListOfVenues/A3EF6855D1A9996ECA257C690082F866?Open" TargetMode="External"/><Relationship Id="rId93" Type="http://schemas.openxmlformats.org/officeDocument/2006/relationships/hyperlink" Target="http://www.vcgr.vic.gov.au/CA2570C30016EEF3/wListOfVenues/7FCA9058F5B55EEFCA257C690082F963?Open" TargetMode="External"/><Relationship Id="rId189" Type="http://schemas.openxmlformats.org/officeDocument/2006/relationships/hyperlink" Target="http://www.vcgr.vic.gov.au/CA2570C30016EEF3/wListOfVenues/816EB78631341D30CA257C690082F8D5?Open" TargetMode="External"/><Relationship Id="rId375" Type="http://schemas.openxmlformats.org/officeDocument/2006/relationships/hyperlink" Target="http://www.vcgr.vic.gov.au/CA2570C30016EEF3/wListOfVenues/AFAC5FDBCA45ACA8CA257C690082F8BE?Open" TargetMode="External"/><Relationship Id="rId396" Type="http://schemas.openxmlformats.org/officeDocument/2006/relationships/hyperlink" Target="http://www.vcgr.vic.gov.au/CA2570C30016EEF3/wListOfVenues/232FE8E73ABB43EACA257C690082F9AA?Open" TargetMode="External"/><Relationship Id="rId3" Type="http://schemas.openxmlformats.org/officeDocument/2006/relationships/hyperlink" Target="http://www.vcgr.vic.gov.au/CA2570C30016EEF3/wListOfVenues/7505C87952D4CDFFCA257C690082F98F?Open" TargetMode="External"/><Relationship Id="rId214" Type="http://schemas.openxmlformats.org/officeDocument/2006/relationships/hyperlink" Target="http://www.vcgr.vic.gov.au/CA2570C30016EEF3/wListOfVenues/C446C7281DABCCB7CA257C690082F8A6?Open" TargetMode="External"/><Relationship Id="rId235" Type="http://schemas.openxmlformats.org/officeDocument/2006/relationships/hyperlink" Target="http://www.vcgr.vic.gov.au/CA2570C30016EEF3/wListOfVenues/1B412E3C1AD0E6B5CA257C690082F890?Open" TargetMode="External"/><Relationship Id="rId256" Type="http://schemas.openxmlformats.org/officeDocument/2006/relationships/hyperlink" Target="http://www.vcgr.vic.gov.au/CA2570C30016EEF3/wListOfVenues/601C4995D1FCAAEBCA257C690082F8A7?Open" TargetMode="External"/><Relationship Id="rId277" Type="http://schemas.openxmlformats.org/officeDocument/2006/relationships/hyperlink" Target="http://www.vcgr.vic.gov.au/CA2570C30016EEF3/wListOfVenues/135DFDFAC87FF09ACA257C690082F88B?Open" TargetMode="External"/><Relationship Id="rId298" Type="http://schemas.openxmlformats.org/officeDocument/2006/relationships/hyperlink" Target="http://www.vcgr.vic.gov.au/CA2570C30016EEF3/wListOfVenues/E78BEB061202966BCA257C690082F842?Open" TargetMode="External"/><Relationship Id="rId400" Type="http://schemas.openxmlformats.org/officeDocument/2006/relationships/hyperlink" Target="http://www.vcgr.vic.gov.au/CA2570C30016EEF3/wListOfVenues/6AF6BBD92CA7BBF4CA257C690082F907?Open" TargetMode="External"/><Relationship Id="rId421" Type="http://schemas.openxmlformats.org/officeDocument/2006/relationships/hyperlink" Target="http://www.vcgr.vic.gov.au/CA2570C30016EEF3/wListOfVenues/4AC9ECD87231FEBDCA257C690082F8B2?Open" TargetMode="External"/><Relationship Id="rId442" Type="http://schemas.openxmlformats.org/officeDocument/2006/relationships/hyperlink" Target="http://www.vcgr.vic.gov.au/CA2570C30016EEF3/wListOfVenues/A0B199421F198C5FCA257C690082F9F6?Open" TargetMode="External"/><Relationship Id="rId463" Type="http://schemas.openxmlformats.org/officeDocument/2006/relationships/hyperlink" Target="http://www.vcgr.vic.gov.au/CA2570C30016EEF3/wListOfVenues/FDAB700D826A391CCA257C690082F903?Open" TargetMode="External"/><Relationship Id="rId484" Type="http://schemas.openxmlformats.org/officeDocument/2006/relationships/hyperlink" Target="http://www.vcgr.vic.gov.au/CA2570C30016EEF3/wListOfVenues/B1D9A87EE7517040CA257C690082F9E5?Open" TargetMode="External"/><Relationship Id="rId519" Type="http://schemas.openxmlformats.org/officeDocument/2006/relationships/hyperlink" Target="http://www.vcgr.vic.gov.au/CA2570C30016EEF3/wListOfVenues/74B34A12D4B8321BCA257C690082F9F2?Open" TargetMode="External"/><Relationship Id="rId116" Type="http://schemas.openxmlformats.org/officeDocument/2006/relationships/hyperlink" Target="http://www.vcgr.vic.gov.au/CA2570C30016EEF3/wListOfVenues/FF3E0F70384C778DCA257C690082F9B2?Open" TargetMode="External"/><Relationship Id="rId137" Type="http://schemas.openxmlformats.org/officeDocument/2006/relationships/hyperlink" Target="http://www.vcgr.vic.gov.au/CA2570C30016EEF3/wListOfVenues/BA9D8DC7C91F71BDCA257C690082F8E9?Open" TargetMode="External"/><Relationship Id="rId158" Type="http://schemas.openxmlformats.org/officeDocument/2006/relationships/hyperlink" Target="http://www.vcgr.vic.gov.au/CA2570C30016EEF3/wListOfVenues/0210E7EB10B5BD29CA257C690082F9CF?Open" TargetMode="External"/><Relationship Id="rId302" Type="http://schemas.openxmlformats.org/officeDocument/2006/relationships/hyperlink" Target="http://www.vcgr.vic.gov.au/CA2570C30016EEF3/wListOfVenues/AEAB4D48EFD5E3CDCA257C690082F99D?Open" TargetMode="External"/><Relationship Id="rId323" Type="http://schemas.openxmlformats.org/officeDocument/2006/relationships/hyperlink" Target="http://www.vcgr.vic.gov.au/CA2570C30016EEF3/wListOfVenues/B2B63CF7C3C690C8CA257C690082F8F3?Open" TargetMode="External"/><Relationship Id="rId344" Type="http://schemas.openxmlformats.org/officeDocument/2006/relationships/hyperlink" Target="http://www.vcgr.vic.gov.au/CA2570C30016EEF3/wListOfVenues/3FE3CF013E1F692ECA257C690082F8BF?Open" TargetMode="External"/><Relationship Id="rId530" Type="http://schemas.openxmlformats.org/officeDocument/2006/relationships/hyperlink" Target="http://www.vcgr.vic.gov.au/CA2570C30016EEF3/wListOfVenues/94ED00ECDDC0ACC9CA257C690082F955?Open" TargetMode="External"/><Relationship Id="rId20" Type="http://schemas.openxmlformats.org/officeDocument/2006/relationships/hyperlink" Target="http://www.vcgr.vic.gov.au/CA2570C30016EEF3/wListOfVenues/9D13FE924F7FBCA7CA257C690082F8C6?Open" TargetMode="External"/><Relationship Id="rId41" Type="http://schemas.openxmlformats.org/officeDocument/2006/relationships/hyperlink" Target="http://www.vcgr.vic.gov.au/CA2570C30016EEF3/wListOfVenues/E9B6E3B4176FE167CA257C690082F8B7?Open" TargetMode="External"/><Relationship Id="rId62" Type="http://schemas.openxmlformats.org/officeDocument/2006/relationships/hyperlink" Target="http://www.vcgr.vic.gov.au/CA2570C30016EEF3/wListOfVenues/37C807AC94CB7CD3CA257C690082F9C9?Open" TargetMode="External"/><Relationship Id="rId83" Type="http://schemas.openxmlformats.org/officeDocument/2006/relationships/hyperlink" Target="http://www.vcgr.vic.gov.au/CA2570C30016EEF3/wListOfVenues/2B10EBF58BB26277CA257C690082F990?Open" TargetMode="External"/><Relationship Id="rId179" Type="http://schemas.openxmlformats.org/officeDocument/2006/relationships/hyperlink" Target="http://www.vcgr.vic.gov.au/CA2570C30016EEF3/wListOfVenues/CA698588491B57A3CA257C690082F877?Open" TargetMode="External"/><Relationship Id="rId365" Type="http://schemas.openxmlformats.org/officeDocument/2006/relationships/hyperlink" Target="http://www.vcgr.vic.gov.au/CA2570C30016EEF3/wListOfVenues/F4547C53A5C4F41BCA257C690082F895?Open" TargetMode="External"/><Relationship Id="rId386" Type="http://schemas.openxmlformats.org/officeDocument/2006/relationships/hyperlink" Target="http://www.vcgr.vic.gov.au/CA2570C30016EEF3/wListOfVenues/2D9E981D7E792FABCA257C690082F809?Open" TargetMode="External"/><Relationship Id="rId190" Type="http://schemas.openxmlformats.org/officeDocument/2006/relationships/hyperlink" Target="http://www.vcgr.vic.gov.au/CA2570C30016EEF3/wListOfVenues/307879A0B4404436CA257C690082F874?Open" TargetMode="External"/><Relationship Id="rId204" Type="http://schemas.openxmlformats.org/officeDocument/2006/relationships/hyperlink" Target="http://www.vcgr.vic.gov.au/CA2570C30016EEF3/wListOfVenues/E378D5C532E890E5CA257C690082F95B?Open" TargetMode="External"/><Relationship Id="rId225" Type="http://schemas.openxmlformats.org/officeDocument/2006/relationships/hyperlink" Target="http://www.vcgr.vic.gov.au/CA2570C30016EEF3/wListOfVenues/0F68F86E9D4E8367CA257C690082F933?Open" TargetMode="External"/><Relationship Id="rId246" Type="http://schemas.openxmlformats.org/officeDocument/2006/relationships/hyperlink" Target="http://www.vcgr.vic.gov.au/CA2570C30016EEF3/wListOfVenues/7E45547D1F9F9468CA257C690082F9FD?Open" TargetMode="External"/><Relationship Id="rId267" Type="http://schemas.openxmlformats.org/officeDocument/2006/relationships/hyperlink" Target="http://www.vcgr.vic.gov.au/CA2570C30016EEF3/wListOfVenues/56D321EF35110E21CA257C690082F9C5?Open" TargetMode="External"/><Relationship Id="rId288" Type="http://schemas.openxmlformats.org/officeDocument/2006/relationships/hyperlink" Target="http://www.vcgr.vic.gov.au/CA2570C30016EEF3/wListOfVenues/BCD366BCA25B1C9DCA257C690082F851?Open" TargetMode="External"/><Relationship Id="rId411" Type="http://schemas.openxmlformats.org/officeDocument/2006/relationships/hyperlink" Target="http://www.vcgr.vic.gov.au/CA2570C30016EEF3/wListOfVenues/5797B3774B0EC9D4CA257C690082F85A?Open" TargetMode="External"/><Relationship Id="rId432" Type="http://schemas.openxmlformats.org/officeDocument/2006/relationships/hyperlink" Target="http://www.vcgr.vic.gov.au/CA2570C30016EEF3/wListOfVenues/94CDE966861924B0CA257C690082F818?Open" TargetMode="External"/><Relationship Id="rId453" Type="http://schemas.openxmlformats.org/officeDocument/2006/relationships/hyperlink" Target="http://www.vcgr.vic.gov.au/CA2570C30016EEF3/wListOfVenues/6A042466A1458E8DCA257C690082F959?Open" TargetMode="External"/><Relationship Id="rId474" Type="http://schemas.openxmlformats.org/officeDocument/2006/relationships/hyperlink" Target="http://www.vcgr.vic.gov.au/CA2570C30016EEF3/wListOfVenues/329C5F0A96A6E859CA257C690082F96D?Open" TargetMode="External"/><Relationship Id="rId509" Type="http://schemas.openxmlformats.org/officeDocument/2006/relationships/hyperlink" Target="http://www.vcgr.vic.gov.au/CA2570C30016EEF3/wListOfVenues/75033CB47900AD87CA257C690082F894?Open" TargetMode="External"/><Relationship Id="rId106" Type="http://schemas.openxmlformats.org/officeDocument/2006/relationships/hyperlink" Target="http://www.vcgr.vic.gov.au/CA2570C30016EEF3/wListOfVenues/239FBF90A22A2FB3CA257C690082F86A?Open" TargetMode="External"/><Relationship Id="rId127" Type="http://schemas.openxmlformats.org/officeDocument/2006/relationships/hyperlink" Target="http://www.vcgr.vic.gov.au/CA2570C30016EEF3/wListOfVenues/724611730B1A577DCA257C690082F922?Open" TargetMode="External"/><Relationship Id="rId313" Type="http://schemas.openxmlformats.org/officeDocument/2006/relationships/hyperlink" Target="http://www.vcgr.vic.gov.au/CA2570C30016EEF3/wListOfVenues/6824ADF500D5F9FACA257C690082F9FC?Open" TargetMode="External"/><Relationship Id="rId495" Type="http://schemas.openxmlformats.org/officeDocument/2006/relationships/hyperlink" Target="http://www.vcgr.vic.gov.au/CA2570C30016EEF3/wListOfVenues/8CBB232C4162B098CA257C690082F884?Open" TargetMode="External"/><Relationship Id="rId10" Type="http://schemas.openxmlformats.org/officeDocument/2006/relationships/hyperlink" Target="http://www.vcgr.vic.gov.au/CA2570C30016EEF3/wListOfVenues/AD10CB0E01C54E46CA257C690082F84E?Open" TargetMode="External"/><Relationship Id="rId31" Type="http://schemas.openxmlformats.org/officeDocument/2006/relationships/hyperlink" Target="http://www.vcgr.vic.gov.au/CA2570C30016EEF3/wListOfVenues/E727C3132EBD3EA1CA257C690082FA05?Open" TargetMode="External"/><Relationship Id="rId52" Type="http://schemas.openxmlformats.org/officeDocument/2006/relationships/hyperlink" Target="http://www.vcgr.vic.gov.au/CA2570C30016EEF3/wListOfVenues/B2D6C6E06F0B028FCA257C690082F7F5?Open" TargetMode="External"/><Relationship Id="rId73" Type="http://schemas.openxmlformats.org/officeDocument/2006/relationships/hyperlink" Target="http://www.vcgr.vic.gov.au/CA2570C30016EEF3/wListOfVenues/B46C3E4EF95D2E95CA257C690082F993?Open" TargetMode="External"/><Relationship Id="rId94" Type="http://schemas.openxmlformats.org/officeDocument/2006/relationships/hyperlink" Target="http://www.vcgr.vic.gov.au/CA2570C30016EEF3/wListOfVenues/5563857C0BFD2614CA257C690082F9B8?Open" TargetMode="External"/><Relationship Id="rId148" Type="http://schemas.openxmlformats.org/officeDocument/2006/relationships/hyperlink" Target="http://www.vcgr.vic.gov.au/CA2570C30016EEF3/wListOfVenues/37E693F80A0FD896CA257C690082F995?Open" TargetMode="External"/><Relationship Id="rId169" Type="http://schemas.openxmlformats.org/officeDocument/2006/relationships/hyperlink" Target="http://www.vcgr.vic.gov.au/CA2570C30016EEF3/wListOfVenues/F0D6B26B97920E86CA257C690082F88E?Open" TargetMode="External"/><Relationship Id="rId334" Type="http://schemas.openxmlformats.org/officeDocument/2006/relationships/hyperlink" Target="http://www.vcgr.vic.gov.au/CA2570C30016EEF3/wListOfVenues/27E91E98668496FBCA257C690082F9E8?Open" TargetMode="External"/><Relationship Id="rId355" Type="http://schemas.openxmlformats.org/officeDocument/2006/relationships/hyperlink" Target="http://www.vcgr.vic.gov.au/CA2570C30016EEF3/wListOfVenues/BA97FDE455EF3DD6CA257C690082F9ED?Open" TargetMode="External"/><Relationship Id="rId376" Type="http://schemas.openxmlformats.org/officeDocument/2006/relationships/hyperlink" Target="http://www.vcgr.vic.gov.au/CA2570C30016EEF3/wListOfVenues/29D354D301AC5B93CA257C690082F833?Open" TargetMode="External"/><Relationship Id="rId397" Type="http://schemas.openxmlformats.org/officeDocument/2006/relationships/hyperlink" Target="http://www.vcgr.vic.gov.au/CA2570C30016EEF3/wListOfVenues/3CC6B3A12AE033DBCA257C690082F8FA?Open" TargetMode="External"/><Relationship Id="rId520" Type="http://schemas.openxmlformats.org/officeDocument/2006/relationships/hyperlink" Target="http://www.vcgr.vic.gov.au/CA2570C30016EEF3/wListOfVenues/AA9CCE6C7B8395F6CA257C690082F96E?Open" TargetMode="External"/><Relationship Id="rId541" Type="http://schemas.openxmlformats.org/officeDocument/2006/relationships/hyperlink" Target="http://www.vcgr.vic.gov.au/CA2570C30016EEF3/wListOfVenues/415934902398ADB7CA257A480020AF0C?Open" TargetMode="External"/><Relationship Id="rId4" Type="http://schemas.openxmlformats.org/officeDocument/2006/relationships/hyperlink" Target="http://www.vcgr.vic.gov.au/CA2570C30016EEF3/wListOfVenues/76C9DCADCD5B9AB2CA257C690082F814?Open" TargetMode="External"/><Relationship Id="rId180" Type="http://schemas.openxmlformats.org/officeDocument/2006/relationships/hyperlink" Target="http://www.vcgr.vic.gov.au/CA2570C30016EEF3/wListOfVenues/053648DC393F4E6CCA257C690082F86C?Open" TargetMode="External"/><Relationship Id="rId215" Type="http://schemas.openxmlformats.org/officeDocument/2006/relationships/hyperlink" Target="http://www.vcgr.vic.gov.au/CA2570C30016EEF3/wListOfVenues/09939FE3C1EAC676CA257C690082F8EB?Open" TargetMode="External"/><Relationship Id="rId236" Type="http://schemas.openxmlformats.org/officeDocument/2006/relationships/hyperlink" Target="http://www.vcgr.vic.gov.au/CA2570C30016EEF3/wListOfVenues/85E10E174F029F2BCA257C690082F951?Open" TargetMode="External"/><Relationship Id="rId257" Type="http://schemas.openxmlformats.org/officeDocument/2006/relationships/hyperlink" Target="http://www.vcgr.vic.gov.au/CA2570C30016EEF3/wListOfVenues/0B9BF181A388EDB0CA257C690082F9A0?Open" TargetMode="External"/><Relationship Id="rId278" Type="http://schemas.openxmlformats.org/officeDocument/2006/relationships/hyperlink" Target="http://www.vcgr.vic.gov.au/CA2570C30016EEF3/wListOfVenues/2EB84572B04888E1CA257C690082F925?Open" TargetMode="External"/><Relationship Id="rId401" Type="http://schemas.openxmlformats.org/officeDocument/2006/relationships/hyperlink" Target="http://www.vcgr.vic.gov.au/CA2570C30016EEF3/wListOfVenues/83B8DC38E9A85D55CA257C690082F802?Open" TargetMode="External"/><Relationship Id="rId422" Type="http://schemas.openxmlformats.org/officeDocument/2006/relationships/hyperlink" Target="http://www.vcgr.vic.gov.au/CA2570C30016EEF3/wListOfVenues/5C5994061A250277CA257C690082F7EC?Open" TargetMode="External"/><Relationship Id="rId443" Type="http://schemas.openxmlformats.org/officeDocument/2006/relationships/hyperlink" Target="http://www.vcgr.vic.gov.au/CA2570C30016EEF3/wListOfVenues/3F2CB609B6445FDACA257C690082F9E9?Open" TargetMode="External"/><Relationship Id="rId464" Type="http://schemas.openxmlformats.org/officeDocument/2006/relationships/hyperlink" Target="http://www.vcgr.vic.gov.au/CA2570C30016EEF3/wListOfVenues/E2ED84E79BACC8EFCA257C690082F9E3?Open" TargetMode="External"/><Relationship Id="rId303" Type="http://schemas.openxmlformats.org/officeDocument/2006/relationships/hyperlink" Target="http://www.vcgr.vic.gov.au/CA2570C30016EEF3/wListOfVenues/4FC207CF03572FF6CA257C690082F870?Open" TargetMode="External"/><Relationship Id="rId485" Type="http://schemas.openxmlformats.org/officeDocument/2006/relationships/hyperlink" Target="http://www.vcgr.vic.gov.au/CA2570C30016EEF3/wListOfVenues/6B2B4583F3FA489CCA257C690082F861?Open" TargetMode="External"/><Relationship Id="rId42" Type="http://schemas.openxmlformats.org/officeDocument/2006/relationships/hyperlink" Target="http://www.vcgr.vic.gov.au/CA2570C30016EEF3/wListOfVenues/A7BD008B6CEEDD58CA257C690082F89B?Open" TargetMode="External"/><Relationship Id="rId84" Type="http://schemas.openxmlformats.org/officeDocument/2006/relationships/hyperlink" Target="http://www.vcgr.vic.gov.au/CA2570C30016EEF3/wListOfVenues/F6A1CC9E168C19B8CA257C690082F830?Open" TargetMode="External"/><Relationship Id="rId138" Type="http://schemas.openxmlformats.org/officeDocument/2006/relationships/hyperlink" Target="http://www.vcgr.vic.gov.au/CA2570C30016EEF3/wListOfVenues/D0A6F97B66DC9C69CA257C690082F7EA?Open" TargetMode="External"/><Relationship Id="rId345" Type="http://schemas.openxmlformats.org/officeDocument/2006/relationships/hyperlink" Target="http://www.vcgr.vic.gov.au/CA2570C30016EEF3/wListOfVenues/02BF465ED435CE9DCA257C690082F93B?Open" TargetMode="External"/><Relationship Id="rId387" Type="http://schemas.openxmlformats.org/officeDocument/2006/relationships/hyperlink" Target="http://www.vcgr.vic.gov.au/CA2570C30016EEF3/wListOfVenues/F1FEAC97B69396BDCA257C690082F897?Open" TargetMode="External"/><Relationship Id="rId510" Type="http://schemas.openxmlformats.org/officeDocument/2006/relationships/hyperlink" Target="http://www.vcgr.vic.gov.au/CA2570C30016EEF3/wListOfVenues/9F4B676A79B24423CA257C690082F957?Open" TargetMode="External"/><Relationship Id="rId191" Type="http://schemas.openxmlformats.org/officeDocument/2006/relationships/hyperlink" Target="http://www.vcgr.vic.gov.au/CA2570C30016EEF3/wListOfVenues/E0911840FCCF0C05CA257C690082F9C1?Open" TargetMode="External"/><Relationship Id="rId205" Type="http://schemas.openxmlformats.org/officeDocument/2006/relationships/hyperlink" Target="http://www.vcgr.vic.gov.au/CA2570C30016EEF3/wListOfVenues/75F3A2FFF1D5381FCA257C690082F89D?Open" TargetMode="External"/><Relationship Id="rId247" Type="http://schemas.openxmlformats.org/officeDocument/2006/relationships/hyperlink" Target="http://www.vcgr.vic.gov.au/CA2570C30016EEF3/wListOfVenues/6AB88F9BF412970DCA257C690082F8E5?Open" TargetMode="External"/><Relationship Id="rId412" Type="http://schemas.openxmlformats.org/officeDocument/2006/relationships/hyperlink" Target="http://www.vcgr.vic.gov.au/CA2570C30016EEF3/wListOfVenues/6626BC05C0A5B5AFCA257C690082F929?Open" TargetMode="External"/><Relationship Id="rId107" Type="http://schemas.openxmlformats.org/officeDocument/2006/relationships/hyperlink" Target="http://www.vcgr.vic.gov.au/CA2570C30016EEF3/wListOfVenues/FC359B178D53AEF5CA257C690082F7EF?Open" TargetMode="External"/><Relationship Id="rId289" Type="http://schemas.openxmlformats.org/officeDocument/2006/relationships/hyperlink" Target="http://www.vcgr.vic.gov.au/CA2570C30016EEF3/wListOfVenues/0C4DB6F9F2695D08CA257C690082F984?Open" TargetMode="External"/><Relationship Id="rId454" Type="http://schemas.openxmlformats.org/officeDocument/2006/relationships/hyperlink" Target="http://www.vcgr.vic.gov.au/CA2570C30016EEF3/wListOfVenues/6299B4981C5CF07DCA257C690082F938?Open" TargetMode="External"/><Relationship Id="rId496" Type="http://schemas.openxmlformats.org/officeDocument/2006/relationships/hyperlink" Target="http://www.vcgr.vic.gov.au/CA2570C30016EEF3/wListOfVenues/CDB3829A09462236CA257C690082F8B5?Open" TargetMode="External"/><Relationship Id="rId11" Type="http://schemas.openxmlformats.org/officeDocument/2006/relationships/hyperlink" Target="http://www.vcgr.vic.gov.au/CA2570C30016EEF3/wListOfVenues/1341E8DCF89E6980CA257C690082F813?Open" TargetMode="External"/><Relationship Id="rId53" Type="http://schemas.openxmlformats.org/officeDocument/2006/relationships/hyperlink" Target="http://www.vcgr.vic.gov.au/CA2570C30016EEF3/wListOfVenues/644931D30FCE929ACA257C690082F9C0?Open" TargetMode="External"/><Relationship Id="rId149" Type="http://schemas.openxmlformats.org/officeDocument/2006/relationships/hyperlink" Target="http://www.vcgr.vic.gov.au/CA2570C30016EEF3/wListOfVenues/EC7F9967EBAFFDB9CA257C690082F9B4?Open" TargetMode="External"/><Relationship Id="rId314" Type="http://schemas.openxmlformats.org/officeDocument/2006/relationships/hyperlink" Target="http://www.vcgr.vic.gov.au/CA2570C30016EEF3/wListOfVenues/B7C4AB996ED15D64CA257C690082F8BA?Open" TargetMode="External"/><Relationship Id="rId356" Type="http://schemas.openxmlformats.org/officeDocument/2006/relationships/hyperlink" Target="http://www.vcgr.vic.gov.au/CA2570C30016EEF3/wListOfVenues/CFECFC7987FDEC64CA257C690082F9D7?Open" TargetMode="External"/><Relationship Id="rId398" Type="http://schemas.openxmlformats.org/officeDocument/2006/relationships/hyperlink" Target="http://www.vcgr.vic.gov.au/CA2570C30016EEF3/wListOfVenues/5D45CF118FFB01AACA257C690082F91F?Open" TargetMode="External"/><Relationship Id="rId521" Type="http://schemas.openxmlformats.org/officeDocument/2006/relationships/hyperlink" Target="http://www.vcgr.vic.gov.au/CA2570C30016EEF3/wListOfVenues/502C2C52F5C68AA0CA257C690082F9C7?Open" TargetMode="External"/><Relationship Id="rId95" Type="http://schemas.openxmlformats.org/officeDocument/2006/relationships/hyperlink" Target="http://www.vcgr.vic.gov.au/CA2570C30016EEF3/wListOfVenues/426A5C8C5D57069FCA257C690082F8D2?Open" TargetMode="External"/><Relationship Id="rId160" Type="http://schemas.openxmlformats.org/officeDocument/2006/relationships/hyperlink" Target="http://www.vcgr.vic.gov.au/CA2570C30016EEF3/wListOfVenues/263DC5781317047ECA257C690082F81D?Open" TargetMode="External"/><Relationship Id="rId216" Type="http://schemas.openxmlformats.org/officeDocument/2006/relationships/hyperlink" Target="http://www.vcgr.vic.gov.au/CA2570C30016EEF3/wListOfVenues/A3275747F0BB34F5CA257C690082F924?Open" TargetMode="External"/><Relationship Id="rId423" Type="http://schemas.openxmlformats.org/officeDocument/2006/relationships/hyperlink" Target="http://www.vcgr.vic.gov.au/CA2570C30016EEF3/wListOfVenues/D588567E2FD02AEACA257C690082F8A1?Open" TargetMode="External"/><Relationship Id="rId258" Type="http://schemas.openxmlformats.org/officeDocument/2006/relationships/hyperlink" Target="http://www.vcgr.vic.gov.au/CA2570C30016EEF3/wListOfVenues/313DEBC74BBF67C7CA257C690082F999?Open" TargetMode="External"/><Relationship Id="rId465" Type="http://schemas.openxmlformats.org/officeDocument/2006/relationships/hyperlink" Target="http://www.vcgr.vic.gov.au/CA2570C30016EEF3/wListOfVenues/8027375A2BD18C7BCA257C690082F8C0?Open" TargetMode="External"/><Relationship Id="rId22" Type="http://schemas.openxmlformats.org/officeDocument/2006/relationships/hyperlink" Target="http://www.vcgr.vic.gov.au/CA2570C30016EEF3/wListOfVenues/A8EAF1D75E52F15ECA257C690082F82C?Open" TargetMode="External"/><Relationship Id="rId64" Type="http://schemas.openxmlformats.org/officeDocument/2006/relationships/hyperlink" Target="http://www.vcgr.vic.gov.au/CA2570C30016EEF3/wListOfVenues/9F38E630BDD45726CA257C690082F915?Open" TargetMode="External"/><Relationship Id="rId118" Type="http://schemas.openxmlformats.org/officeDocument/2006/relationships/hyperlink" Target="http://www.vcgr.vic.gov.au/CA2570C30016EEF3/wListOfVenues/D2C36F88527B1CCECA257C690082F932?Open" TargetMode="External"/><Relationship Id="rId325" Type="http://schemas.openxmlformats.org/officeDocument/2006/relationships/hyperlink" Target="http://www.vcgr.vic.gov.au/CA2570C30016EEF3/wListOfVenues/81D90D1C16518A3ACA257C690082FA02?Open" TargetMode="External"/><Relationship Id="rId367" Type="http://schemas.openxmlformats.org/officeDocument/2006/relationships/hyperlink" Target="http://www.vcgr.vic.gov.au/CA2570C30016EEF3/wListOfVenues/7B362BDA22F471D5CA257C690082F812?Open" TargetMode="External"/><Relationship Id="rId532" Type="http://schemas.openxmlformats.org/officeDocument/2006/relationships/hyperlink" Target="http://www.vcgr.vic.gov.au/CA2570C30016EEF3/wListOfVenues/A151EF19EE4DA629CA257C690082F876?Open" TargetMode="External"/><Relationship Id="rId171" Type="http://schemas.openxmlformats.org/officeDocument/2006/relationships/hyperlink" Target="http://www.vcgr.vic.gov.au/CA2570C30016EEF3/wListOfVenues/C427453415BFBBFECA257C690082F946?Open" TargetMode="External"/><Relationship Id="rId227" Type="http://schemas.openxmlformats.org/officeDocument/2006/relationships/hyperlink" Target="http://www.vcgr.vic.gov.au/CA2570C30016EEF3/wListOfVenues/817744467DDE412DCA257C690082F7ED?Open" TargetMode="External"/><Relationship Id="rId269" Type="http://schemas.openxmlformats.org/officeDocument/2006/relationships/hyperlink" Target="http://www.vcgr.vic.gov.au/CA2570C30016EEF3/wListOfVenues/59B46E41C09051ABCA257C690082F91C?Open" TargetMode="External"/><Relationship Id="rId434" Type="http://schemas.openxmlformats.org/officeDocument/2006/relationships/hyperlink" Target="http://www.vcgr.vic.gov.au/CA2570C30016EEF3/wListOfVenues/1D4D596BA56C4C3CCA257C690082F8B0?Open" TargetMode="External"/><Relationship Id="rId476" Type="http://schemas.openxmlformats.org/officeDocument/2006/relationships/hyperlink" Target="http://www.vcgr.vic.gov.au/CA2570C30016EEF3/wListOfVenues/DC23B1AD9832BC1ACA257C690082F94F?Open" TargetMode="External"/><Relationship Id="rId33" Type="http://schemas.openxmlformats.org/officeDocument/2006/relationships/hyperlink" Target="http://www.vcgr.vic.gov.au/CA2570C30016EEF3/wListOfVenues/5BDA820356E99104CA257C690082F8D8?Open" TargetMode="External"/><Relationship Id="rId129" Type="http://schemas.openxmlformats.org/officeDocument/2006/relationships/hyperlink" Target="http://www.vcgr.vic.gov.au/CA2570C30016EEF3/wListOfVenues/CC8D644F8F101FCCCA257C690082F7F8?Open" TargetMode="External"/><Relationship Id="rId280" Type="http://schemas.openxmlformats.org/officeDocument/2006/relationships/hyperlink" Target="http://www.vcgr.vic.gov.au/CA2570C30016EEF3/wListOfVenues/9613CB8DC06E58A6CA257C690082F7EE?Open" TargetMode="External"/><Relationship Id="rId336" Type="http://schemas.openxmlformats.org/officeDocument/2006/relationships/hyperlink" Target="http://www.vcgr.vic.gov.au/CA2570C30016EEF3/wListOfVenues/B56DD41461E56038CA257C690082F94E?Open" TargetMode="External"/><Relationship Id="rId501" Type="http://schemas.openxmlformats.org/officeDocument/2006/relationships/hyperlink" Target="http://www.vcgr.vic.gov.au/CA2570C30016EEF3/wListOfVenues/BCE2E559799633E2CA257C690082F97A?Open" TargetMode="External"/><Relationship Id="rId543" Type="http://schemas.openxmlformats.org/officeDocument/2006/relationships/drawing" Target="../drawings/drawing3.xml"/><Relationship Id="rId75" Type="http://schemas.openxmlformats.org/officeDocument/2006/relationships/hyperlink" Target="http://www.vcgr.vic.gov.au/CA2570C30016EEF3/wListOfVenues/B62BEAA9BDFFD203CA257C690082F939?Open" TargetMode="External"/><Relationship Id="rId140" Type="http://schemas.openxmlformats.org/officeDocument/2006/relationships/hyperlink" Target="http://www.vcgr.vic.gov.au/CA2570C30016EEF3/wListOfVenues/33CB9677DC19A262CA257C690082F8E7?Open" TargetMode="External"/><Relationship Id="rId182" Type="http://schemas.openxmlformats.org/officeDocument/2006/relationships/hyperlink" Target="http://www.vcgr.vic.gov.au/CA2570C30016EEF3/wListOfVenues/E2D57926D9EF4D20CA257C690082F850?Open" TargetMode="External"/><Relationship Id="rId378" Type="http://schemas.openxmlformats.org/officeDocument/2006/relationships/hyperlink" Target="http://www.vcgr.vic.gov.au/CA2570C30016EEF3/wListOfVenues/F9DAFC4A18116795CA257C690082F8C7?Open" TargetMode="External"/><Relationship Id="rId403" Type="http://schemas.openxmlformats.org/officeDocument/2006/relationships/hyperlink" Target="http://www.vcgr.vic.gov.au/CA2570C30016EEF3/wListOfVenues/7B2A52C81F5DBB0ACA257C690082F83A?Open" TargetMode="External"/><Relationship Id="rId6" Type="http://schemas.openxmlformats.org/officeDocument/2006/relationships/hyperlink" Target="http://www.vcgr.vic.gov.au/CA2570C30016EEF3/wListOfVenues/CCD71FAEE499EE6FCA257C690082F942?Open" TargetMode="External"/><Relationship Id="rId238" Type="http://schemas.openxmlformats.org/officeDocument/2006/relationships/hyperlink" Target="http://www.vcgr.vic.gov.au/CA2570C30016EEF3/wListOfVenues/043A531A3FCC866FCA257C690082F95E?Open" TargetMode="External"/><Relationship Id="rId445" Type="http://schemas.openxmlformats.org/officeDocument/2006/relationships/hyperlink" Target="http://www.vcgr.vic.gov.au/CA2570C30016EEF3/wListOfVenues/F61A7DE12629FE83CA257C690082F86D?Open" TargetMode="External"/><Relationship Id="rId487" Type="http://schemas.openxmlformats.org/officeDocument/2006/relationships/hyperlink" Target="http://www.vcgr.vic.gov.au/CA2570C30016EEF3/wListOfVenues/4AFCD0A726E73530CA257C690082F9D4?Open" TargetMode="External"/><Relationship Id="rId291" Type="http://schemas.openxmlformats.org/officeDocument/2006/relationships/hyperlink" Target="http://www.vcgr.vic.gov.au/CA2570C30016EEF3/wListOfVenues/53A86FFADE7FC7CFCA257C690082F862?Open" TargetMode="External"/><Relationship Id="rId305" Type="http://schemas.openxmlformats.org/officeDocument/2006/relationships/hyperlink" Target="http://www.vcgr.vic.gov.au/CA2570C30016EEF3/wListOfVenues/489DF170DD958A45CA257C690082F85E?Open" TargetMode="External"/><Relationship Id="rId347" Type="http://schemas.openxmlformats.org/officeDocument/2006/relationships/hyperlink" Target="http://www.vcgr.vic.gov.au/CA2570C30016EEF3/wListOfVenues/3F1228D71E93972FCA257C690082F986?Open" TargetMode="External"/><Relationship Id="rId512" Type="http://schemas.openxmlformats.org/officeDocument/2006/relationships/hyperlink" Target="http://www.vcgr.vic.gov.au/CA2570C30016EEF3/wListOfVenues/4C879C18287A8883CA257C690082F936?Open" TargetMode="External"/><Relationship Id="rId44" Type="http://schemas.openxmlformats.org/officeDocument/2006/relationships/hyperlink" Target="http://www.vcgr.vic.gov.au/CA2570C30016EEF3/wListOfVenues/C0F1135D34106232CA257C690082F9A6?Open" TargetMode="External"/><Relationship Id="rId86" Type="http://schemas.openxmlformats.org/officeDocument/2006/relationships/hyperlink" Target="http://www.vcgr.vic.gov.au/CA2570C30016EEF3/wListOfVenues/7FFF7EFAE3C5AA13CA257C690082F8AC?Open" TargetMode="External"/><Relationship Id="rId151" Type="http://schemas.openxmlformats.org/officeDocument/2006/relationships/hyperlink" Target="http://www.vcgr.vic.gov.au/CA2570C30016EEF3/wListOfVenues/FFE870D58EB1D37ECA257C690082F943?Open" TargetMode="External"/><Relationship Id="rId389" Type="http://schemas.openxmlformats.org/officeDocument/2006/relationships/hyperlink" Target="http://www.vcgr.vic.gov.au/CA2570C30016EEF3/wListOfVenues/9D1B28C946B54E7DCA257C690082F9FB?Open" TargetMode="External"/><Relationship Id="rId193" Type="http://schemas.openxmlformats.org/officeDocument/2006/relationships/hyperlink" Target="http://www.vcgr.vic.gov.au/CA2570C30016EEF3/wListOfVenues/4E4EBDD379BE2747CA257C690082F81F?Open" TargetMode="External"/><Relationship Id="rId207" Type="http://schemas.openxmlformats.org/officeDocument/2006/relationships/hyperlink" Target="http://www.vcgr.vic.gov.au/CA2570C30016EEF3/wListOfVenues/B599186CFDCA9971CA257C690082F7EB?Open" TargetMode="External"/><Relationship Id="rId249" Type="http://schemas.openxmlformats.org/officeDocument/2006/relationships/hyperlink" Target="http://www.vcgr.vic.gov.au/CA2570C30016EEF3/wListOfVenues/86CE4E68718BAA2ECA257C690082F873?Open" TargetMode="External"/><Relationship Id="rId414" Type="http://schemas.openxmlformats.org/officeDocument/2006/relationships/hyperlink" Target="http://www.vcgr.vic.gov.au/CA2570C30016EEF3/wListOfVenues/37EE13F725A8CF12CA257C690082F972?Open" TargetMode="External"/><Relationship Id="rId456" Type="http://schemas.openxmlformats.org/officeDocument/2006/relationships/hyperlink" Target="http://www.vcgr.vic.gov.au/CA2570C30016EEF3/wListOfVenues/38A583306A4A6CA9CA257C690082F9FA?Open" TargetMode="External"/><Relationship Id="rId498" Type="http://schemas.openxmlformats.org/officeDocument/2006/relationships/hyperlink" Target="http://www.vcgr.vic.gov.au/CA2570C30016EEF3/wListOfVenues/38F8ED5188557EBCCA257C690082F8B8?Open" TargetMode="External"/><Relationship Id="rId13" Type="http://schemas.openxmlformats.org/officeDocument/2006/relationships/hyperlink" Target="http://www.vcgr.vic.gov.au/CA2570C30016EEF3/wListOfVenues/647548A73258F35CCA257C690082F84F?Open" TargetMode="External"/><Relationship Id="rId109" Type="http://schemas.openxmlformats.org/officeDocument/2006/relationships/hyperlink" Target="http://www.vcgr.vic.gov.au/CA2570C30016EEF3/wListOfVenues/2EBE521E0A7CADD6CA257C690082F887?Open" TargetMode="External"/><Relationship Id="rId260" Type="http://schemas.openxmlformats.org/officeDocument/2006/relationships/hyperlink" Target="http://www.vcgr.vic.gov.au/CA2570C30016EEF3/wListOfVenues/A65F4450694BB770CA257C690082F838?Open" TargetMode="External"/><Relationship Id="rId316" Type="http://schemas.openxmlformats.org/officeDocument/2006/relationships/hyperlink" Target="http://www.vcgr.vic.gov.au/CA2570C30016EEF3/wListOfVenues/37C7A6CD52D36624CA257C690082F98C?Open" TargetMode="External"/><Relationship Id="rId523" Type="http://schemas.openxmlformats.org/officeDocument/2006/relationships/hyperlink" Target="http://www.vcgr.vic.gov.au/CA2570C30016EEF3/wListOfVenues/D174C2A1694A01ADCA257C690082F987?Open" TargetMode="External"/><Relationship Id="rId55" Type="http://schemas.openxmlformats.org/officeDocument/2006/relationships/hyperlink" Target="http://www.vcgr.vic.gov.au/CA2570C30016EEF3/wListOfVenues/B7364E3992A4059CCA257C690082F885?Open" TargetMode="External"/><Relationship Id="rId97" Type="http://schemas.openxmlformats.org/officeDocument/2006/relationships/hyperlink" Target="http://www.vcgr.vic.gov.au/CA2570C30016EEF3/wListOfVenues/B1E057DA57F2083DCA257C690082F8AD?Open" TargetMode="External"/><Relationship Id="rId120" Type="http://schemas.openxmlformats.org/officeDocument/2006/relationships/hyperlink" Target="http://www.vcgr.vic.gov.au/CA2570C30016EEF3/wListOfVenues/0557569293FBA0C1CA257C690082F880?Open" TargetMode="External"/><Relationship Id="rId358" Type="http://schemas.openxmlformats.org/officeDocument/2006/relationships/hyperlink" Target="http://www.vcgr.vic.gov.au/CA2570C30016EEF3/wListOfVenues/2321C7467CD05D10CA257C690082F7FF?Open" TargetMode="External"/><Relationship Id="rId162" Type="http://schemas.openxmlformats.org/officeDocument/2006/relationships/hyperlink" Target="http://www.vcgr.vic.gov.au/CA2570C30016EEF3/wListOfVenues/05EFC376072974DECA257C690082F88F?Open" TargetMode="External"/><Relationship Id="rId218" Type="http://schemas.openxmlformats.org/officeDocument/2006/relationships/hyperlink" Target="http://www.vcgr.vic.gov.au/CA2570C30016EEF3/wListOfVenues/6E336853B9CE9349CA257C690082F8ED?Open" TargetMode="External"/><Relationship Id="rId425" Type="http://schemas.openxmlformats.org/officeDocument/2006/relationships/hyperlink" Target="http://www.vcgr.vic.gov.au/CA2570C30016EEF3/wListOfVenues/329153A5EDC17389CA257C690082F99E?Open" TargetMode="External"/><Relationship Id="rId467" Type="http://schemas.openxmlformats.org/officeDocument/2006/relationships/hyperlink" Target="http://www.vcgr.vic.gov.au/CA2570C30016EEF3/wListOfVenues/22E0006D54ED3E0ECA257C690082F7F6?Open" TargetMode="External"/><Relationship Id="rId271" Type="http://schemas.openxmlformats.org/officeDocument/2006/relationships/hyperlink" Target="http://www.vcgr.vic.gov.au/CA2570C30016EEF3/wListOfVenues/D310B8131CD893A8CA257C690082F8D7?Open" TargetMode="External"/><Relationship Id="rId24" Type="http://schemas.openxmlformats.org/officeDocument/2006/relationships/hyperlink" Target="http://www.vcgr.vic.gov.au/CA2570C30016EEF3/wListOfVenues/C03EF05087ACDB40CA257C690082F83D?Open" TargetMode="External"/><Relationship Id="rId66" Type="http://schemas.openxmlformats.org/officeDocument/2006/relationships/hyperlink" Target="http://www.vcgr.vic.gov.au/CA2570C30016EEF3/wListOfVenues/5ED48A1136CE2292CA257C690082F896?Open" TargetMode="External"/><Relationship Id="rId131" Type="http://schemas.openxmlformats.org/officeDocument/2006/relationships/hyperlink" Target="http://www.vcgr.vic.gov.au/CA2570C30016EEF3/wListOfVenues/51C7181ABEE9A459CA257C690082F9D2?Open" TargetMode="External"/><Relationship Id="rId327" Type="http://schemas.openxmlformats.org/officeDocument/2006/relationships/hyperlink" Target="http://www.vcgr.vic.gov.au/CA2570C30016EEF3/wListOfVenues/03B06897B9CF88EDCA257C690082F98A?Open" TargetMode="External"/><Relationship Id="rId369" Type="http://schemas.openxmlformats.org/officeDocument/2006/relationships/hyperlink" Target="http://www.vcgr.vic.gov.au/CA2570C30016EEF3/wListOfVenues/646AF535F47A40A2CA257C690082F8D9?Open" TargetMode="External"/><Relationship Id="rId534" Type="http://schemas.openxmlformats.org/officeDocument/2006/relationships/hyperlink" Target="http://www.vcgr.vic.gov.au/CA2570C30016EEF3/wListOfVenues/73EC3E8612EC19E7CA257C690082F930?Open" TargetMode="External"/><Relationship Id="rId173" Type="http://schemas.openxmlformats.org/officeDocument/2006/relationships/hyperlink" Target="http://www.vcgr.vic.gov.au/CA2570C30016EEF3/wListOfVenues/4479266B52465C75CA257C690082F9DB?Open" TargetMode="External"/><Relationship Id="rId229" Type="http://schemas.openxmlformats.org/officeDocument/2006/relationships/hyperlink" Target="http://www.vcgr.vic.gov.au/CA2570C30016EEF3/wListOfVenues/1720B9673E01DFE1CA257C690082F85F?Open" TargetMode="External"/><Relationship Id="rId380" Type="http://schemas.openxmlformats.org/officeDocument/2006/relationships/hyperlink" Target="http://www.vcgr.vic.gov.au/CA2570C30016EEF3/wListOfVenues/C1B9EDB76430D1A7CA257C690082FA03?Open" TargetMode="External"/><Relationship Id="rId436" Type="http://schemas.openxmlformats.org/officeDocument/2006/relationships/hyperlink" Target="http://www.vcgr.vic.gov.au/CA2570C30016EEF3/wListOfVenues/AFDF9539A8C78D85CA257C690082F9B0?Open" TargetMode="External"/><Relationship Id="rId240" Type="http://schemas.openxmlformats.org/officeDocument/2006/relationships/hyperlink" Target="http://www.vcgr.vic.gov.au/CA2570C30016EEF3/wListOfVenues/EAE86F96B05E5D49CA257C690082F8BB?Open" TargetMode="External"/><Relationship Id="rId478" Type="http://schemas.openxmlformats.org/officeDocument/2006/relationships/hyperlink" Target="http://www.vcgr.vic.gov.au/CA2570C30016EEF3/wListOfVenues/784913E0A1D45BE1CA257C690082F822?Open" TargetMode="External"/><Relationship Id="rId35" Type="http://schemas.openxmlformats.org/officeDocument/2006/relationships/hyperlink" Target="http://www.vcgr.vic.gov.au/CA2570C30016EEF3/wListOfVenues/4B95134DCBC841E9CA257C690082F8F0?Open" TargetMode="External"/><Relationship Id="rId77" Type="http://schemas.openxmlformats.org/officeDocument/2006/relationships/hyperlink" Target="http://www.vcgr.vic.gov.au/CA2570C30016EEF3/wListOfVenues/AECBBA24C5CBE1B4CA257C690082F892?Open" TargetMode="External"/><Relationship Id="rId100" Type="http://schemas.openxmlformats.org/officeDocument/2006/relationships/hyperlink" Target="http://www.vcgr.vic.gov.au/CA2570C30016EEF3/wListOfVenues/EB8FC2AA05360555CA257C690082F9C2?Open" TargetMode="External"/><Relationship Id="rId282" Type="http://schemas.openxmlformats.org/officeDocument/2006/relationships/hyperlink" Target="http://www.vcgr.vic.gov.au/CA2570C30016EEF3/wListOfVenues/5B2A5CA890A5482ECA257C690082F82B?Open" TargetMode="External"/><Relationship Id="rId338" Type="http://schemas.openxmlformats.org/officeDocument/2006/relationships/hyperlink" Target="http://www.vcgr.vic.gov.au/CA2570C30016EEF3/wListOfVenues/FDD9BD238FBEEC27CA257C690082F844?Open" TargetMode="External"/><Relationship Id="rId503" Type="http://schemas.openxmlformats.org/officeDocument/2006/relationships/hyperlink" Target="http://www.vcgr.vic.gov.au/CA2570C30016EEF3/wListOfVenues/F82501605530375ECA257C690082F958?Open" TargetMode="External"/><Relationship Id="rId8" Type="http://schemas.openxmlformats.org/officeDocument/2006/relationships/hyperlink" Target="http://www.vcgr.vic.gov.au/CA2570C30016EEF3/wListOfVenues/5E917C7AB8305726CA257C690082F93A?Open" TargetMode="External"/><Relationship Id="rId142" Type="http://schemas.openxmlformats.org/officeDocument/2006/relationships/hyperlink" Target="http://www.vcgr.vic.gov.au/CA2570C30016EEF3/wListOfVenues/814BB7B16652BAB2CA257C690082FA00?Open" TargetMode="External"/><Relationship Id="rId184" Type="http://schemas.openxmlformats.org/officeDocument/2006/relationships/hyperlink" Target="http://www.vcgr.vic.gov.au/CA2570C30016EEF3/wListOfVenues/28DB2CA30763ED78CA257C690082F8F2?Open" TargetMode="External"/><Relationship Id="rId391" Type="http://schemas.openxmlformats.org/officeDocument/2006/relationships/hyperlink" Target="http://www.vcgr.vic.gov.au/CA2570C30016EEF3/wListOfVenues/EAEDFF4132969262CA257C690082F7F7?Open" TargetMode="External"/><Relationship Id="rId405" Type="http://schemas.openxmlformats.org/officeDocument/2006/relationships/hyperlink" Target="http://www.vcgr.vic.gov.au/CA2570C30016EEF3/wListOfVenues/D806B30D56C7B281CA257C690082F891?Open" TargetMode="External"/><Relationship Id="rId447" Type="http://schemas.openxmlformats.org/officeDocument/2006/relationships/hyperlink" Target="http://www.vcgr.vic.gov.au/CA2570C30016EEF3/wListOfVenues/1FBB4678F5B05246CA257C690082F840?Open" TargetMode="External"/><Relationship Id="rId251" Type="http://schemas.openxmlformats.org/officeDocument/2006/relationships/hyperlink" Target="http://www.vcgr.vic.gov.au/CA2570C30016EEF3/wListOfVenues/828303339C2AEAB2CA257C690082F88A?Open" TargetMode="External"/><Relationship Id="rId489" Type="http://schemas.openxmlformats.org/officeDocument/2006/relationships/hyperlink" Target="http://www.vcgr.vic.gov.au/CA2570C30016EEF3/wListOfVenues/3218D13E453D679ACA257C690082F87B?Open" TargetMode="External"/><Relationship Id="rId46" Type="http://schemas.openxmlformats.org/officeDocument/2006/relationships/hyperlink" Target="http://www.vcgr.vic.gov.au/CA2570C30016EEF3/wListOfVenues/605506AA9AB34F86CA257C690082F9BF?Open" TargetMode="External"/><Relationship Id="rId293" Type="http://schemas.openxmlformats.org/officeDocument/2006/relationships/hyperlink" Target="http://www.vcgr.vic.gov.au/CA2570C30016EEF3/wListOfVenues/E836574EE8CB8129CA257C690082F81E?Open" TargetMode="External"/><Relationship Id="rId307" Type="http://schemas.openxmlformats.org/officeDocument/2006/relationships/hyperlink" Target="http://www.vcgr.vic.gov.au/CA2570C30016EEF3/wListOfVenues/D2EEF1290EE198E7CA257C690082F92B?Open" TargetMode="External"/><Relationship Id="rId349" Type="http://schemas.openxmlformats.org/officeDocument/2006/relationships/hyperlink" Target="http://www.vcgr.vic.gov.au/CA2570C30016EEF3/wListOfVenues/C499C527B5BFFED7CA257C690082F988?Open" TargetMode="External"/><Relationship Id="rId514" Type="http://schemas.openxmlformats.org/officeDocument/2006/relationships/hyperlink" Target="http://www.vcgr.vic.gov.au/CA2570C30016EEF3/wListOfVenues/DC48C57FDD8B915FCA257C690082F83F?Op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N20"/>
  <sheetViews>
    <sheetView showGridLines="0" showRowColHeaders="0" tabSelected="1" zoomScale="110" zoomScaleNormal="110" workbookViewId="0">
      <selection activeCell="C3" sqref="C3:N3"/>
    </sheetView>
  </sheetViews>
  <sheetFormatPr defaultRowHeight="12.75"/>
  <cols>
    <col min="1" max="1" width="5.28515625" style="232" customWidth="1"/>
    <col min="2" max="2" width="3.7109375" style="232" customWidth="1"/>
    <col min="3" max="3" width="9.140625" style="232"/>
    <col min="4" max="13" width="10.28515625" style="232" customWidth="1"/>
    <col min="14" max="16384" width="9.140625" style="232"/>
  </cols>
  <sheetData>
    <row r="1" spans="3:14" ht="32.25" customHeight="1"/>
    <row r="2" spans="3:14" ht="39.75" customHeight="1"/>
    <row r="3" spans="3:14" ht="36">
      <c r="C3" s="389" t="s">
        <v>1511</v>
      </c>
      <c r="D3" s="389"/>
      <c r="E3" s="389"/>
      <c r="F3" s="389"/>
      <c r="G3" s="389"/>
      <c r="H3" s="389"/>
      <c r="I3" s="389"/>
      <c r="J3" s="389"/>
      <c r="K3" s="389"/>
      <c r="L3" s="389"/>
      <c r="M3" s="389"/>
      <c r="N3" s="389"/>
    </row>
    <row r="4" spans="3:14" ht="15.75">
      <c r="C4" s="391" t="s">
        <v>1530</v>
      </c>
      <c r="D4" s="391"/>
      <c r="E4" s="391"/>
      <c r="F4" s="391"/>
      <c r="G4" s="391"/>
      <c r="H4" s="391"/>
      <c r="I4" s="391"/>
      <c r="J4" s="391"/>
      <c r="K4" s="391"/>
      <c r="L4" s="391"/>
      <c r="M4" s="391"/>
      <c r="N4" s="391"/>
    </row>
    <row r="8" spans="3:14" ht="45.75" customHeight="1">
      <c r="C8" s="390" t="s">
        <v>1408</v>
      </c>
      <c r="D8" s="390"/>
      <c r="E8" s="390"/>
      <c r="F8" s="390"/>
      <c r="G8" s="390"/>
      <c r="H8" s="390"/>
      <c r="I8" s="390"/>
      <c r="J8" s="390"/>
      <c r="K8" s="390"/>
      <c r="L8" s="390"/>
      <c r="M8" s="390"/>
    </row>
    <row r="9" spans="3:14" ht="13.5" customHeight="1">
      <c r="C9" s="233"/>
      <c r="D9" s="233"/>
      <c r="E9" s="233"/>
      <c r="F9" s="233"/>
      <c r="G9" s="233"/>
      <c r="H9" s="233"/>
      <c r="I9" s="233"/>
      <c r="J9" s="233"/>
      <c r="K9" s="233"/>
      <c r="L9" s="233"/>
      <c r="M9" s="233"/>
    </row>
    <row r="10" spans="3:14" ht="13.5" customHeight="1">
      <c r="C10" s="233"/>
      <c r="D10" s="233"/>
      <c r="E10" s="233"/>
      <c r="F10" s="233"/>
      <c r="G10" s="233"/>
      <c r="H10" s="233"/>
      <c r="I10" s="233"/>
      <c r="J10" s="233"/>
      <c r="K10" s="233"/>
      <c r="L10" s="233"/>
      <c r="M10" s="233"/>
    </row>
    <row r="11" spans="3:14" ht="23.25">
      <c r="C11" s="388" t="s">
        <v>1423</v>
      </c>
      <c r="D11" s="388"/>
      <c r="E11" s="388"/>
      <c r="F11" s="388"/>
      <c r="G11" s="388"/>
      <c r="H11" s="388"/>
      <c r="I11" s="388"/>
      <c r="J11" s="388"/>
      <c r="K11" s="388"/>
      <c r="L11" s="388"/>
      <c r="M11" s="388"/>
    </row>
    <row r="12" spans="3:14" ht="13.5" customHeight="1">
      <c r="C12" s="233"/>
      <c r="D12" s="233"/>
      <c r="E12" s="233"/>
      <c r="F12" s="233"/>
      <c r="G12" s="233"/>
      <c r="H12" s="233"/>
      <c r="I12" s="233"/>
      <c r="J12" s="233"/>
      <c r="K12" s="233"/>
      <c r="L12" s="233"/>
      <c r="M12" s="233"/>
    </row>
    <row r="13" spans="3:14" ht="13.5" customHeight="1">
      <c r="C13" s="233"/>
      <c r="D13" s="233"/>
      <c r="E13" s="233"/>
      <c r="F13" s="233"/>
      <c r="G13" s="233"/>
      <c r="H13" s="233"/>
      <c r="I13" s="233"/>
      <c r="J13" s="233"/>
      <c r="K13" s="233"/>
      <c r="L13" s="233"/>
      <c r="M13" s="233"/>
    </row>
    <row r="14" spans="3:14" ht="23.25">
      <c r="C14" s="388" t="s">
        <v>1409</v>
      </c>
      <c r="D14" s="388"/>
      <c r="E14" s="388"/>
      <c r="F14" s="388"/>
      <c r="G14" s="388"/>
      <c r="H14" s="388"/>
      <c r="I14" s="388"/>
      <c r="J14" s="388"/>
      <c r="K14" s="388"/>
      <c r="L14" s="388"/>
      <c r="M14" s="388"/>
    </row>
    <row r="15" spans="3:14" ht="15" customHeight="1">
      <c r="C15" s="269"/>
      <c r="D15" s="269"/>
      <c r="E15" s="269"/>
      <c r="F15" s="269"/>
      <c r="G15" s="269"/>
      <c r="H15" s="269"/>
      <c r="I15" s="269"/>
      <c r="J15" s="269"/>
      <c r="K15" s="269"/>
      <c r="L15" s="269"/>
      <c r="M15" s="269"/>
    </row>
    <row r="16" spans="3:14" ht="13.5" customHeight="1">
      <c r="C16" s="233"/>
      <c r="D16" s="233"/>
      <c r="E16" s="233"/>
      <c r="F16" s="233"/>
      <c r="G16" s="233"/>
      <c r="H16" s="233"/>
      <c r="I16" s="233"/>
      <c r="J16" s="233"/>
      <c r="K16" s="233"/>
      <c r="L16" s="233"/>
      <c r="M16" s="233"/>
    </row>
    <row r="17" spans="3:13" ht="23.25">
      <c r="C17" s="388" t="s">
        <v>1424</v>
      </c>
      <c r="D17" s="388"/>
      <c r="E17" s="388"/>
      <c r="F17" s="388"/>
      <c r="G17" s="388"/>
      <c r="H17" s="388"/>
      <c r="I17" s="388"/>
      <c r="J17" s="388"/>
      <c r="K17" s="388"/>
      <c r="L17" s="388"/>
      <c r="M17" s="388"/>
    </row>
    <row r="20" spans="3:13" ht="23.25">
      <c r="C20" s="388" t="s">
        <v>1529</v>
      </c>
      <c r="D20" s="388"/>
      <c r="E20" s="388"/>
      <c r="F20" s="388"/>
      <c r="G20" s="388"/>
      <c r="H20" s="388"/>
      <c r="I20" s="388"/>
      <c r="J20" s="388"/>
      <c r="K20" s="388"/>
      <c r="L20" s="388"/>
      <c r="M20" s="388"/>
    </row>
  </sheetData>
  <sheetProtection password="CF21" sheet="1" objects="1" scenarios="1"/>
  <mergeCells count="7">
    <mergeCell ref="C20:M20"/>
    <mergeCell ref="C17:M17"/>
    <mergeCell ref="C3:N3"/>
    <mergeCell ref="C8:M8"/>
    <mergeCell ref="C11:M11"/>
    <mergeCell ref="C14:M14"/>
    <mergeCell ref="C4:N4"/>
  </mergeCells>
  <hyperlinks>
    <hyperlink ref="C8:M8" location="Indicators!A3" display="Indicators!A3" xr:uid="{00000000-0004-0000-0000-000000000000}"/>
    <hyperlink ref="C11:M11" location="Comparison!J5" display="Comparison!J5" xr:uid="{00000000-0004-0000-0000-000001000000}"/>
    <hyperlink ref="C14:M14" location="Venues!D4" display="Venues!D4" xr:uid="{00000000-0004-0000-0000-000002000000}"/>
    <hyperlink ref="C17:M17" location="Correlations!D3" display="Correlations!D3" xr:uid="{00000000-0004-0000-0000-000003000000}"/>
    <hyperlink ref="C20:M20" location="'Gaming Trends'!B1" display="EGM GAMBLING EXPENDITURE by MUNICIPALITY AND YEAR: _x000a_metropolitan municipalities, 1992 to 2018" xr:uid="{00000000-0004-0000-0000-000004000000}"/>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73"/>
  <sheetViews>
    <sheetView workbookViewId="0">
      <pane xSplit="2" ySplit="4" topLeftCell="C5" activePane="bottomRight" state="frozen"/>
      <selection pane="topRight" activeCell="C1" sqref="C1"/>
      <selection pane="bottomLeft" activeCell="A5" sqref="A5"/>
      <selection pane="bottomRight" activeCell="E14" sqref="E14"/>
    </sheetView>
  </sheetViews>
  <sheetFormatPr defaultRowHeight="12.75"/>
  <cols>
    <col min="1" max="1" width="3.7109375" style="270" customWidth="1"/>
    <col min="2" max="2" width="14" style="275" customWidth="1"/>
    <col min="3" max="17" width="10" style="272" customWidth="1"/>
    <col min="18" max="20" width="10" style="273" customWidth="1"/>
    <col min="21" max="30" width="10" style="272" customWidth="1"/>
    <col min="31" max="31" width="12.28515625" style="274" bestFit="1" customWidth="1"/>
    <col min="32" max="16384" width="9.140625" style="274"/>
  </cols>
  <sheetData>
    <row r="1" spans="1:34" ht="18.75">
      <c r="B1" s="271" t="s">
        <v>1437</v>
      </c>
    </row>
    <row r="3" spans="1:34" ht="15.75">
      <c r="C3" s="318" t="s">
        <v>1471</v>
      </c>
      <c r="D3" s="318"/>
      <c r="E3" s="318"/>
      <c r="J3" s="283"/>
      <c r="K3" s="283"/>
      <c r="L3" s="283"/>
      <c r="M3" s="283"/>
      <c r="N3" s="283"/>
      <c r="O3" s="283"/>
      <c r="P3" s="283"/>
      <c r="Q3" s="283"/>
      <c r="R3" s="283"/>
      <c r="S3" s="283"/>
      <c r="T3" s="283"/>
      <c r="U3" s="283"/>
    </row>
    <row r="4" spans="1:34">
      <c r="B4" s="276" t="s">
        <v>1325</v>
      </c>
      <c r="C4" s="277" t="s">
        <v>1438</v>
      </c>
      <c r="D4" s="277" t="s">
        <v>1439</v>
      </c>
      <c r="E4" s="277" t="s">
        <v>1440</v>
      </c>
      <c r="F4" s="277" t="s">
        <v>1441</v>
      </c>
      <c r="G4" s="277" t="s">
        <v>1442</v>
      </c>
      <c r="H4" s="277" t="s">
        <v>1443</v>
      </c>
      <c r="I4" s="277" t="s">
        <v>1444</v>
      </c>
      <c r="J4" s="277" t="s">
        <v>1445</v>
      </c>
      <c r="K4" s="277" t="s">
        <v>1446</v>
      </c>
      <c r="L4" s="277" t="s">
        <v>1447</v>
      </c>
      <c r="M4" s="277" t="s">
        <v>1448</v>
      </c>
      <c r="N4" s="277" t="s">
        <v>1449</v>
      </c>
      <c r="O4" s="277" t="s">
        <v>1450</v>
      </c>
      <c r="P4" s="277" t="s">
        <v>1451</v>
      </c>
      <c r="Q4" s="277" t="s">
        <v>1452</v>
      </c>
      <c r="R4" s="277" t="s">
        <v>1453</v>
      </c>
      <c r="S4" s="277" t="s">
        <v>1454</v>
      </c>
      <c r="T4" s="277" t="s">
        <v>1455</v>
      </c>
      <c r="U4" s="277" t="s">
        <v>1456</v>
      </c>
      <c r="V4" s="277" t="s">
        <v>1457</v>
      </c>
      <c r="W4" s="277" t="s">
        <v>1458</v>
      </c>
      <c r="X4" s="277" t="s">
        <v>1459</v>
      </c>
      <c r="Y4" s="277" t="s">
        <v>1460</v>
      </c>
      <c r="Z4" s="277" t="s">
        <v>1461</v>
      </c>
      <c r="AA4" s="277" t="s">
        <v>1462</v>
      </c>
      <c r="AB4" s="277" t="s">
        <v>1463</v>
      </c>
      <c r="AC4" s="277" t="s">
        <v>1513</v>
      </c>
      <c r="AD4" s="359"/>
    </row>
    <row r="5" spans="1:34">
      <c r="A5" s="278">
        <v>1</v>
      </c>
      <c r="B5" s="279" t="s">
        <v>106</v>
      </c>
      <c r="C5" s="280">
        <v>13131557</v>
      </c>
      <c r="D5" s="280">
        <v>30647297</v>
      </c>
      <c r="E5" s="280">
        <v>34431165</v>
      </c>
      <c r="F5" s="280">
        <v>39953629</v>
      </c>
      <c r="G5" s="280">
        <v>39447301.700000003</v>
      </c>
      <c r="H5" s="280">
        <v>41970614.399999999</v>
      </c>
      <c r="I5" s="280">
        <v>49385940</v>
      </c>
      <c r="J5" s="280">
        <v>55937541.259999998</v>
      </c>
      <c r="K5" s="280">
        <v>61924223</v>
      </c>
      <c r="L5" s="280">
        <v>66431141.969999999</v>
      </c>
      <c r="M5" s="280">
        <v>58117510.730000004</v>
      </c>
      <c r="N5" s="280">
        <v>55081538.690000013</v>
      </c>
      <c r="O5" s="280">
        <v>57387665.809999987</v>
      </c>
      <c r="P5" s="280">
        <v>59939116.160000004</v>
      </c>
      <c r="Q5" s="280">
        <v>60403499.060000002</v>
      </c>
      <c r="R5" s="280">
        <v>60421999.760000005</v>
      </c>
      <c r="S5" s="280">
        <v>63037273.530000001</v>
      </c>
      <c r="T5" s="280">
        <v>59644350.219999999</v>
      </c>
      <c r="U5" s="280">
        <v>58356211.419999994</v>
      </c>
      <c r="V5" s="280">
        <v>57804745.479999997</v>
      </c>
      <c r="W5" s="280">
        <v>55261443.420000002</v>
      </c>
      <c r="X5" s="280">
        <v>55019402.309999995</v>
      </c>
      <c r="Y5" s="280">
        <v>54512648.719999999</v>
      </c>
      <c r="Z5" s="280">
        <v>55979946.780000009</v>
      </c>
      <c r="AA5" s="280">
        <v>55820854.07</v>
      </c>
      <c r="AB5" s="280">
        <v>58536906.890000001</v>
      </c>
      <c r="AC5" s="280">
        <f>AH5*1000000</f>
        <v>57758108.75</v>
      </c>
      <c r="AD5" s="280"/>
      <c r="AH5" s="274">
        <v>57.758108749999998</v>
      </c>
    </row>
    <row r="6" spans="1:34">
      <c r="A6" s="278">
        <v>2</v>
      </c>
      <c r="B6" s="279" t="s">
        <v>109</v>
      </c>
      <c r="C6" s="280">
        <v>2312924</v>
      </c>
      <c r="D6" s="280">
        <v>14709957</v>
      </c>
      <c r="E6" s="280">
        <v>16660063</v>
      </c>
      <c r="F6" s="280">
        <v>17731396</v>
      </c>
      <c r="G6" s="280">
        <v>17297113.280000001</v>
      </c>
      <c r="H6" s="280">
        <v>15515215.220000001</v>
      </c>
      <c r="I6" s="280">
        <v>16652723</v>
      </c>
      <c r="J6" s="280">
        <v>17893870.829999998</v>
      </c>
      <c r="K6" s="280">
        <v>19361881</v>
      </c>
      <c r="L6" s="280">
        <v>20575519.25</v>
      </c>
      <c r="M6" s="280">
        <v>17378541.25</v>
      </c>
      <c r="N6" s="280">
        <v>16034011.639999999</v>
      </c>
      <c r="O6" s="280">
        <v>15311987.070000002</v>
      </c>
      <c r="P6" s="280">
        <v>16306489.770000001</v>
      </c>
      <c r="Q6" s="280">
        <v>16924467.559999999</v>
      </c>
      <c r="R6" s="280">
        <v>18503606.449999999</v>
      </c>
      <c r="S6" s="280">
        <v>19428862.329999998</v>
      </c>
      <c r="T6" s="280">
        <v>17709005.829999998</v>
      </c>
      <c r="U6" s="280">
        <v>18161762.82</v>
      </c>
      <c r="V6" s="280">
        <v>18137210.890000001</v>
      </c>
      <c r="W6" s="280">
        <v>15823311.670000002</v>
      </c>
      <c r="X6" s="280">
        <v>15788451.25</v>
      </c>
      <c r="Y6" s="280">
        <v>15813241.530000001</v>
      </c>
      <c r="Z6" s="280">
        <v>13615020.660000004</v>
      </c>
      <c r="AA6" s="280">
        <v>14710079.109999999</v>
      </c>
      <c r="AB6" s="280">
        <v>15378669.220000001</v>
      </c>
      <c r="AC6" s="280">
        <f t="shared" ref="AC6:AC35" si="0">AH6*1000000</f>
        <v>13807869.640000001</v>
      </c>
      <c r="AD6" s="280"/>
      <c r="AH6" s="274">
        <v>13.80786964</v>
      </c>
    </row>
    <row r="7" spans="1:34">
      <c r="A7" s="278">
        <v>3</v>
      </c>
      <c r="B7" s="281" t="s">
        <v>111</v>
      </c>
      <c r="C7" s="280">
        <v>1576219</v>
      </c>
      <c r="D7" s="280">
        <v>3839116</v>
      </c>
      <c r="E7" s="280">
        <v>9530783</v>
      </c>
      <c r="F7" s="280">
        <v>13497233</v>
      </c>
      <c r="G7" s="280">
        <v>14323490.529999999</v>
      </c>
      <c r="H7" s="280">
        <v>14483190.960000001</v>
      </c>
      <c r="I7" s="280">
        <v>16355201</v>
      </c>
      <c r="J7" s="280">
        <v>18508548.120000001</v>
      </c>
      <c r="K7" s="280">
        <v>20547314</v>
      </c>
      <c r="L7" s="280">
        <v>22427215.100000001</v>
      </c>
      <c r="M7" s="280">
        <v>19000095.359999999</v>
      </c>
      <c r="N7" s="280">
        <v>17438200.300000001</v>
      </c>
      <c r="O7" s="280">
        <v>18412867.219999999</v>
      </c>
      <c r="P7" s="280">
        <v>18801217.300000001</v>
      </c>
      <c r="Q7" s="280">
        <v>19109279.25</v>
      </c>
      <c r="R7" s="280">
        <v>18946106.969999999</v>
      </c>
      <c r="S7" s="280">
        <v>19561087.069999997</v>
      </c>
      <c r="T7" s="280">
        <v>19047289.219999999</v>
      </c>
      <c r="U7" s="280">
        <v>20272378.779999997</v>
      </c>
      <c r="V7" s="280">
        <v>20182384.370000001</v>
      </c>
      <c r="W7" s="280">
        <v>19132153.5</v>
      </c>
      <c r="X7" s="280">
        <v>19414918.539999999</v>
      </c>
      <c r="Y7" s="280">
        <v>20957038.260000002</v>
      </c>
      <c r="Z7" s="280">
        <v>19997261.390000004</v>
      </c>
      <c r="AA7" s="280">
        <v>19330775.500000004</v>
      </c>
      <c r="AB7" s="280">
        <v>20325757.289999999</v>
      </c>
      <c r="AC7" s="280">
        <f t="shared" si="0"/>
        <v>20450974.239999998</v>
      </c>
      <c r="AD7" s="280"/>
      <c r="AH7" s="274">
        <v>20.450974239999997</v>
      </c>
    </row>
    <row r="8" spans="1:34">
      <c r="A8" s="278">
        <v>4</v>
      </c>
      <c r="B8" s="279" t="s">
        <v>112</v>
      </c>
      <c r="C8" s="280">
        <v>8181417</v>
      </c>
      <c r="D8" s="280">
        <v>24558897</v>
      </c>
      <c r="E8" s="280">
        <v>34128302</v>
      </c>
      <c r="F8" s="280">
        <v>43236718</v>
      </c>
      <c r="G8" s="280">
        <v>51286585.850000001</v>
      </c>
      <c r="H8" s="280">
        <v>61133973.5</v>
      </c>
      <c r="I8" s="280">
        <v>75601792</v>
      </c>
      <c r="J8" s="280">
        <v>86486583.519999996</v>
      </c>
      <c r="K8" s="280">
        <v>98653062</v>
      </c>
      <c r="L8" s="280">
        <v>111172338.77</v>
      </c>
      <c r="M8" s="280">
        <v>104669952.57000001</v>
      </c>
      <c r="N8" s="280">
        <v>104419134.16</v>
      </c>
      <c r="O8" s="280">
        <v>110253988.32000002</v>
      </c>
      <c r="P8" s="280">
        <v>115621938.30000001</v>
      </c>
      <c r="Q8" s="280">
        <v>120814146.26000001</v>
      </c>
      <c r="R8" s="280">
        <v>127884361.60999998</v>
      </c>
      <c r="S8" s="280">
        <v>136447656.70000002</v>
      </c>
      <c r="T8" s="280">
        <v>134961751.90000001</v>
      </c>
      <c r="U8" s="280">
        <v>139385098.31999999</v>
      </c>
      <c r="V8" s="280">
        <v>145619089.80000001</v>
      </c>
      <c r="W8" s="280">
        <v>137637439.13</v>
      </c>
      <c r="X8" s="280">
        <v>138542665.59</v>
      </c>
      <c r="Y8" s="280">
        <v>141609226.77000001</v>
      </c>
      <c r="Z8" s="280">
        <v>143045743.47999999</v>
      </c>
      <c r="AA8" s="280">
        <v>134141671.84999999</v>
      </c>
      <c r="AB8" s="280">
        <v>139507225.15000001</v>
      </c>
      <c r="AC8" s="280">
        <f t="shared" si="0"/>
        <v>142904247.84</v>
      </c>
      <c r="AD8" s="280"/>
      <c r="AH8" s="274">
        <v>142.90424784000001</v>
      </c>
    </row>
    <row r="9" spans="1:34">
      <c r="A9" s="278">
        <v>5</v>
      </c>
      <c r="B9" s="279" t="s">
        <v>115</v>
      </c>
      <c r="C9" s="280">
        <v>0</v>
      </c>
      <c r="D9" s="280">
        <v>720005</v>
      </c>
      <c r="E9" s="280">
        <v>2285843</v>
      </c>
      <c r="F9" s="280">
        <v>4217888</v>
      </c>
      <c r="G9" s="280">
        <v>6232580.4699999997</v>
      </c>
      <c r="H9" s="280">
        <v>7455894.8200000003</v>
      </c>
      <c r="I9" s="280">
        <v>8721775</v>
      </c>
      <c r="J9" s="280">
        <v>10389987.6</v>
      </c>
      <c r="K9" s="280">
        <v>12747104</v>
      </c>
      <c r="L9" s="280">
        <v>13351265.67</v>
      </c>
      <c r="M9" s="280">
        <v>13453068.549999999</v>
      </c>
      <c r="N9" s="280">
        <v>13882782.379999999</v>
      </c>
      <c r="O9" s="280">
        <v>15255355.390000001</v>
      </c>
      <c r="P9" s="280">
        <v>16827452.099999998</v>
      </c>
      <c r="Q9" s="280">
        <v>16958489.580000002</v>
      </c>
      <c r="R9" s="280">
        <v>17490941.620000001</v>
      </c>
      <c r="S9" s="280">
        <v>18578403.550000001</v>
      </c>
      <c r="T9" s="280">
        <v>19414136.550000001</v>
      </c>
      <c r="U9" s="280">
        <v>20768966.52</v>
      </c>
      <c r="V9" s="280">
        <v>21875156.159999996</v>
      </c>
      <c r="W9" s="280">
        <v>20595653.84</v>
      </c>
      <c r="X9" s="280">
        <v>21217863.099999998</v>
      </c>
      <c r="Y9" s="280">
        <v>23259238.899999999</v>
      </c>
      <c r="Z9" s="280">
        <v>25041008.449999996</v>
      </c>
      <c r="AA9" s="280">
        <v>27045323.57</v>
      </c>
      <c r="AB9" s="280">
        <v>29046899.530000001</v>
      </c>
      <c r="AC9" s="280">
        <f t="shared" si="0"/>
        <v>28545146.739999995</v>
      </c>
      <c r="AD9" s="280"/>
      <c r="AH9" s="274">
        <v>28.545146739999996</v>
      </c>
    </row>
    <row r="10" spans="1:34">
      <c r="A10" s="278">
        <v>6</v>
      </c>
      <c r="B10" s="281" t="s">
        <v>116</v>
      </c>
      <c r="C10" s="280">
        <v>4999231</v>
      </c>
      <c r="D10" s="280">
        <v>20642943</v>
      </c>
      <c r="E10" s="280">
        <v>30169844</v>
      </c>
      <c r="F10" s="280">
        <v>39754518</v>
      </c>
      <c r="G10" s="280">
        <v>48826574.700000003</v>
      </c>
      <c r="H10" s="280">
        <v>60284262.200000003</v>
      </c>
      <c r="I10" s="280">
        <v>71245313</v>
      </c>
      <c r="J10" s="280">
        <v>79227439.569999993</v>
      </c>
      <c r="K10" s="280">
        <v>81383230</v>
      </c>
      <c r="L10" s="280">
        <v>97699672.590000004</v>
      </c>
      <c r="M10" s="280">
        <v>98391013.49000001</v>
      </c>
      <c r="N10" s="280">
        <v>99048972.949999988</v>
      </c>
      <c r="O10" s="280">
        <v>103872925.95999999</v>
      </c>
      <c r="P10" s="280">
        <v>107279528.12</v>
      </c>
      <c r="Q10" s="280">
        <v>111015117.72</v>
      </c>
      <c r="R10" s="280">
        <v>117281155.68000001</v>
      </c>
      <c r="S10" s="280">
        <v>123318634.84999999</v>
      </c>
      <c r="T10" s="280">
        <v>119231646.81999999</v>
      </c>
      <c r="U10" s="280">
        <v>124027120.08</v>
      </c>
      <c r="V10" s="280">
        <v>125835347.02000001</v>
      </c>
      <c r="W10" s="280">
        <v>114485606.97</v>
      </c>
      <c r="X10" s="280">
        <v>113243208.09999999</v>
      </c>
      <c r="Y10" s="280">
        <v>119384478.72</v>
      </c>
      <c r="Z10" s="280">
        <v>124817967.32999998</v>
      </c>
      <c r="AA10" s="280">
        <v>127093891.89</v>
      </c>
      <c r="AB10" s="280">
        <v>131514174.63999999</v>
      </c>
      <c r="AC10" s="280">
        <f t="shared" si="0"/>
        <v>132360621.96000001</v>
      </c>
      <c r="AD10" s="280"/>
      <c r="AH10" s="274">
        <v>132.36062196</v>
      </c>
    </row>
    <row r="11" spans="1:34">
      <c r="A11" s="278">
        <v>7</v>
      </c>
      <c r="B11" s="279" t="s">
        <v>120</v>
      </c>
      <c r="C11" s="280">
        <v>10542293</v>
      </c>
      <c r="D11" s="280">
        <v>27757232</v>
      </c>
      <c r="E11" s="280">
        <v>33838336</v>
      </c>
      <c r="F11" s="280">
        <v>45516617</v>
      </c>
      <c r="G11" s="280">
        <v>58351106.649999999</v>
      </c>
      <c r="H11" s="280">
        <v>68229914.760000005</v>
      </c>
      <c r="I11" s="280">
        <v>78625940</v>
      </c>
      <c r="J11" s="280">
        <v>84505743.349999994</v>
      </c>
      <c r="K11" s="280">
        <v>89668795</v>
      </c>
      <c r="L11" s="280">
        <v>95458695.969999999</v>
      </c>
      <c r="M11" s="280">
        <v>85200825.190000013</v>
      </c>
      <c r="N11" s="280">
        <v>83013875.269999981</v>
      </c>
      <c r="O11" s="280">
        <v>87091622.760000005</v>
      </c>
      <c r="P11" s="280">
        <v>89569723.88000004</v>
      </c>
      <c r="Q11" s="280">
        <v>89415047.660000011</v>
      </c>
      <c r="R11" s="280">
        <v>88921321.190000013</v>
      </c>
      <c r="S11" s="280">
        <v>93040648.900000006</v>
      </c>
      <c r="T11" s="280">
        <v>87395139.829999983</v>
      </c>
      <c r="U11" s="280">
        <v>89028981.750000015</v>
      </c>
      <c r="V11" s="280">
        <v>89265723.150000006</v>
      </c>
      <c r="W11" s="280">
        <v>82386001.170000002</v>
      </c>
      <c r="X11" s="280">
        <v>82359807.150000006</v>
      </c>
      <c r="Y11" s="280">
        <v>83857397.070000008</v>
      </c>
      <c r="Z11" s="280">
        <v>84324281.520000011</v>
      </c>
      <c r="AA11" s="280">
        <v>81112259.789999992</v>
      </c>
      <c r="AB11" s="280">
        <v>82129607.700000003</v>
      </c>
      <c r="AC11" s="280">
        <f t="shared" si="0"/>
        <v>81576110.090000004</v>
      </c>
      <c r="AD11" s="280"/>
      <c r="AH11" s="274">
        <v>81.57611009</v>
      </c>
    </row>
    <row r="12" spans="1:34">
      <c r="A12" s="278">
        <v>8</v>
      </c>
      <c r="B12" s="279" t="s">
        <v>122</v>
      </c>
      <c r="C12" s="280">
        <v>11643733</v>
      </c>
      <c r="D12" s="280">
        <v>23270203</v>
      </c>
      <c r="E12" s="280">
        <v>30331089</v>
      </c>
      <c r="F12" s="280">
        <v>34407771</v>
      </c>
      <c r="G12" s="280">
        <v>37406702.200000003</v>
      </c>
      <c r="H12" s="280">
        <v>41417535.700000003</v>
      </c>
      <c r="I12" s="280">
        <v>48376545</v>
      </c>
      <c r="J12" s="280">
        <v>55324841.18</v>
      </c>
      <c r="K12" s="280">
        <v>61841398</v>
      </c>
      <c r="L12" s="280">
        <v>67686740.939999998</v>
      </c>
      <c r="M12" s="280">
        <v>64046829.509999998</v>
      </c>
      <c r="N12" s="280">
        <v>61084756.990000002</v>
      </c>
      <c r="O12" s="280">
        <v>62804156.199999996</v>
      </c>
      <c r="P12" s="280">
        <v>64248910.220000006</v>
      </c>
      <c r="Q12" s="280">
        <v>68438186.669999987</v>
      </c>
      <c r="R12" s="280">
        <v>71434982.289999992</v>
      </c>
      <c r="S12" s="280">
        <v>73857640.290000007</v>
      </c>
      <c r="T12" s="280">
        <v>68927253.440000013</v>
      </c>
      <c r="U12" s="280">
        <v>69950584.459999993</v>
      </c>
      <c r="V12" s="280">
        <v>71286100.349999994</v>
      </c>
      <c r="W12" s="280">
        <v>62225277.189999998</v>
      </c>
      <c r="X12" s="280">
        <v>60249332.640000001</v>
      </c>
      <c r="Y12" s="280">
        <v>62065687.290000007</v>
      </c>
      <c r="Z12" s="280">
        <v>62900685.339999996</v>
      </c>
      <c r="AA12" s="280">
        <v>62408098.640000008</v>
      </c>
      <c r="AB12" s="280">
        <v>64622291.400000006</v>
      </c>
      <c r="AC12" s="280">
        <f t="shared" si="0"/>
        <v>62253454.899999991</v>
      </c>
      <c r="AD12" s="280"/>
      <c r="AH12" s="274">
        <v>62.253454899999994</v>
      </c>
    </row>
    <row r="13" spans="1:34">
      <c r="A13" s="278">
        <v>9</v>
      </c>
      <c r="B13" s="279" t="s">
        <v>124</v>
      </c>
      <c r="C13" s="280">
        <v>9170862</v>
      </c>
      <c r="D13" s="280">
        <v>22490657</v>
      </c>
      <c r="E13" s="280">
        <v>32528528</v>
      </c>
      <c r="F13" s="280">
        <v>38846260</v>
      </c>
      <c r="G13" s="280">
        <v>49239241.450000003</v>
      </c>
      <c r="H13" s="280">
        <v>60588279.759999998</v>
      </c>
      <c r="I13" s="280">
        <v>70462734</v>
      </c>
      <c r="J13" s="280">
        <v>78409748.540000007</v>
      </c>
      <c r="K13" s="280">
        <v>79090142</v>
      </c>
      <c r="L13" s="280">
        <v>81908938.730000004</v>
      </c>
      <c r="M13" s="280">
        <v>72425433.230000004</v>
      </c>
      <c r="N13" s="280">
        <v>68154986.609999999</v>
      </c>
      <c r="O13" s="280">
        <v>69309847.700000003</v>
      </c>
      <c r="P13" s="280">
        <v>71019898.640000001</v>
      </c>
      <c r="Q13" s="280">
        <v>72604999.929999992</v>
      </c>
      <c r="R13" s="280">
        <v>76981235.420000002</v>
      </c>
      <c r="S13" s="280">
        <v>77655963.100000009</v>
      </c>
      <c r="T13" s="280">
        <v>75278883.129999995</v>
      </c>
      <c r="U13" s="280">
        <v>75772778.800000012</v>
      </c>
      <c r="V13" s="280">
        <v>74342426.780000001</v>
      </c>
      <c r="W13" s="280">
        <v>71085293.039999992</v>
      </c>
      <c r="X13" s="280">
        <v>72059137.189999998</v>
      </c>
      <c r="Y13" s="280">
        <v>73555920.900000006</v>
      </c>
      <c r="Z13" s="280">
        <v>76214352.310000002</v>
      </c>
      <c r="AA13" s="280">
        <v>76259820.189999998</v>
      </c>
      <c r="AB13" s="280">
        <v>77171466.400000006</v>
      </c>
      <c r="AC13" s="280">
        <f t="shared" si="0"/>
        <v>74244676.719999999</v>
      </c>
      <c r="AD13" s="280"/>
      <c r="AH13" s="274">
        <v>74.244676720000001</v>
      </c>
    </row>
    <row r="14" spans="1:34">
      <c r="A14" s="278">
        <v>10</v>
      </c>
      <c r="B14" s="279" t="s">
        <v>128</v>
      </c>
      <c r="C14" s="280">
        <v>13631707</v>
      </c>
      <c r="D14" s="280">
        <v>35900348</v>
      </c>
      <c r="E14" s="280">
        <v>48128036</v>
      </c>
      <c r="F14" s="280">
        <v>61128571</v>
      </c>
      <c r="G14" s="280">
        <v>65662018.5</v>
      </c>
      <c r="H14" s="280">
        <v>76404074</v>
      </c>
      <c r="I14" s="280">
        <v>85590514</v>
      </c>
      <c r="J14" s="280">
        <v>93127587.409999996</v>
      </c>
      <c r="K14" s="280">
        <v>102078087</v>
      </c>
      <c r="L14" s="280">
        <v>110477847.48</v>
      </c>
      <c r="M14" s="280">
        <v>98192822.720000014</v>
      </c>
      <c r="N14" s="280">
        <v>96545264.359999999</v>
      </c>
      <c r="O14" s="280">
        <v>103151432.19</v>
      </c>
      <c r="P14" s="280">
        <v>105913506.12</v>
      </c>
      <c r="Q14" s="280">
        <v>110041820.95</v>
      </c>
      <c r="R14" s="280">
        <v>116067556.67</v>
      </c>
      <c r="S14" s="280">
        <v>121121650.63</v>
      </c>
      <c r="T14" s="280">
        <v>114904955.60000001</v>
      </c>
      <c r="U14" s="280">
        <v>117262476.71999998</v>
      </c>
      <c r="V14" s="280">
        <v>117556980.97999999</v>
      </c>
      <c r="W14" s="280">
        <v>109299013.48</v>
      </c>
      <c r="X14" s="280">
        <v>110134642.60999998</v>
      </c>
      <c r="Y14" s="280">
        <v>117004770.07000001</v>
      </c>
      <c r="Z14" s="280">
        <v>118836649.17999999</v>
      </c>
      <c r="AA14" s="280">
        <v>118190093.03</v>
      </c>
      <c r="AB14" s="280">
        <v>121420072.78</v>
      </c>
      <c r="AC14" s="280">
        <f t="shared" si="0"/>
        <v>119311877.92999999</v>
      </c>
      <c r="AD14" s="280"/>
      <c r="AH14" s="274">
        <v>119.31187792999999</v>
      </c>
    </row>
    <row r="15" spans="1:34">
      <c r="A15" s="278">
        <v>11</v>
      </c>
      <c r="B15" s="279" t="s">
        <v>133</v>
      </c>
      <c r="C15" s="280">
        <v>5319708</v>
      </c>
      <c r="D15" s="280">
        <v>12778842</v>
      </c>
      <c r="E15" s="280">
        <v>14035451</v>
      </c>
      <c r="F15" s="280">
        <v>19162839</v>
      </c>
      <c r="G15" s="280">
        <v>23942501.800000001</v>
      </c>
      <c r="H15" s="280">
        <v>28469244.600000001</v>
      </c>
      <c r="I15" s="280">
        <v>34983140</v>
      </c>
      <c r="J15" s="280">
        <v>40913559.799999997</v>
      </c>
      <c r="K15" s="280">
        <v>45893591</v>
      </c>
      <c r="L15" s="280">
        <v>48730202.640000001</v>
      </c>
      <c r="M15" s="280">
        <v>43577658.289999999</v>
      </c>
      <c r="N15" s="280">
        <v>43055517.870000005</v>
      </c>
      <c r="O15" s="280">
        <v>44925263.060000002</v>
      </c>
      <c r="P15" s="280">
        <v>47972306.659999996</v>
      </c>
      <c r="Q15" s="280">
        <v>49439403.600000001</v>
      </c>
      <c r="R15" s="280">
        <v>51310795.770000003</v>
      </c>
      <c r="S15" s="280">
        <v>54156138.189999998</v>
      </c>
      <c r="T15" s="280">
        <v>49836821.549999997</v>
      </c>
      <c r="U15" s="280">
        <v>51364711.590000004</v>
      </c>
      <c r="V15" s="280">
        <v>52632388.380000003</v>
      </c>
      <c r="W15" s="280">
        <v>47861113.630000003</v>
      </c>
      <c r="X15" s="280">
        <v>47196551.189999998</v>
      </c>
      <c r="Y15" s="280">
        <v>46430981.960000001</v>
      </c>
      <c r="Z15" s="280">
        <v>46829609.25</v>
      </c>
      <c r="AA15" s="280">
        <v>46908518.850000001</v>
      </c>
      <c r="AB15" s="280">
        <v>47437370.429999992</v>
      </c>
      <c r="AC15" s="280">
        <f t="shared" si="0"/>
        <v>47042973.650000006</v>
      </c>
      <c r="AD15" s="280"/>
      <c r="AH15" s="274">
        <v>47.042973650000008</v>
      </c>
    </row>
    <row r="16" spans="1:34">
      <c r="A16" s="278">
        <v>12</v>
      </c>
      <c r="B16" s="279" t="s">
        <v>135</v>
      </c>
      <c r="C16" s="280">
        <v>2125911</v>
      </c>
      <c r="D16" s="280">
        <v>9519799</v>
      </c>
      <c r="E16" s="280">
        <v>21179362</v>
      </c>
      <c r="F16" s="280">
        <v>31090524</v>
      </c>
      <c r="G16" s="280">
        <v>38649188.149999999</v>
      </c>
      <c r="H16" s="280">
        <v>47618256.490000002</v>
      </c>
      <c r="I16" s="280">
        <v>57864650</v>
      </c>
      <c r="J16" s="280">
        <v>66556065.219999999</v>
      </c>
      <c r="K16" s="280">
        <v>76040031</v>
      </c>
      <c r="L16" s="280">
        <v>85539408.280000001</v>
      </c>
      <c r="M16" s="280">
        <v>77421307.450000003</v>
      </c>
      <c r="N16" s="280">
        <v>77269209.409999996</v>
      </c>
      <c r="O16" s="280">
        <v>86954461.930000007</v>
      </c>
      <c r="P16" s="280">
        <v>94613700.519999996</v>
      </c>
      <c r="Q16" s="280">
        <v>98102742.560000002</v>
      </c>
      <c r="R16" s="280">
        <v>101608645.29000001</v>
      </c>
      <c r="S16" s="280">
        <v>104732267.92000002</v>
      </c>
      <c r="T16" s="280">
        <v>101275032.08999999</v>
      </c>
      <c r="U16" s="280">
        <v>102718846.47999999</v>
      </c>
      <c r="V16" s="280">
        <v>103993534.42999998</v>
      </c>
      <c r="W16" s="280">
        <v>98760072.209999993</v>
      </c>
      <c r="X16" s="280">
        <v>101822277.67999999</v>
      </c>
      <c r="Y16" s="280">
        <v>104943985.94999999</v>
      </c>
      <c r="Z16" s="280">
        <v>106043755.03</v>
      </c>
      <c r="AA16" s="280">
        <v>105766409.57000001</v>
      </c>
      <c r="AB16" s="280">
        <v>109623804.77000001</v>
      </c>
      <c r="AC16" s="280">
        <f t="shared" si="0"/>
        <v>111695894.07999998</v>
      </c>
      <c r="AD16" s="280"/>
      <c r="AH16" s="274">
        <v>111.69589407999999</v>
      </c>
    </row>
    <row r="17" spans="1:34">
      <c r="A17" s="278">
        <v>13</v>
      </c>
      <c r="B17" s="279" t="s">
        <v>137</v>
      </c>
      <c r="C17" s="280">
        <v>12074062</v>
      </c>
      <c r="D17" s="280">
        <v>21593348</v>
      </c>
      <c r="E17" s="280">
        <v>28488967</v>
      </c>
      <c r="F17" s="280">
        <v>38851152</v>
      </c>
      <c r="G17" s="280">
        <v>48405453.799999997</v>
      </c>
      <c r="H17" s="280">
        <v>59011018</v>
      </c>
      <c r="I17" s="280">
        <v>70086213</v>
      </c>
      <c r="J17" s="280">
        <v>79675449.129999995</v>
      </c>
      <c r="K17" s="280">
        <v>85255921</v>
      </c>
      <c r="L17" s="280">
        <v>93125123.730000004</v>
      </c>
      <c r="M17" s="280">
        <v>82748959.150000006</v>
      </c>
      <c r="N17" s="280">
        <v>79668164.069999993</v>
      </c>
      <c r="O17" s="280">
        <v>82962644.540000007</v>
      </c>
      <c r="P17" s="280">
        <v>85330441.859999999</v>
      </c>
      <c r="Q17" s="280">
        <v>87433964.289999992</v>
      </c>
      <c r="R17" s="280">
        <v>88413997.010000005</v>
      </c>
      <c r="S17" s="280">
        <v>90075901.039999992</v>
      </c>
      <c r="T17" s="280">
        <v>85807487.519999996</v>
      </c>
      <c r="U17" s="280">
        <v>86304046.999999985</v>
      </c>
      <c r="V17" s="280">
        <v>86504008.269999996</v>
      </c>
      <c r="W17" s="280">
        <v>78986274.549999997</v>
      </c>
      <c r="X17" s="280">
        <v>79825384.390000001</v>
      </c>
      <c r="Y17" s="280">
        <v>81509892.750000015</v>
      </c>
      <c r="Z17" s="280">
        <v>83473105.910000011</v>
      </c>
      <c r="AA17" s="280">
        <v>83016928.479999989</v>
      </c>
      <c r="AB17" s="280">
        <v>86280868.829999998</v>
      </c>
      <c r="AC17" s="280">
        <f t="shared" si="0"/>
        <v>85701350.430000007</v>
      </c>
      <c r="AD17" s="280"/>
      <c r="AH17" s="274">
        <v>85.701350430000005</v>
      </c>
    </row>
    <row r="18" spans="1:34">
      <c r="A18" s="278">
        <v>14</v>
      </c>
      <c r="B18" s="279" t="s">
        <v>138</v>
      </c>
      <c r="C18" s="280">
        <v>12369647</v>
      </c>
      <c r="D18" s="280">
        <v>36962407</v>
      </c>
      <c r="E18" s="280">
        <v>43738445</v>
      </c>
      <c r="F18" s="280">
        <v>51433420</v>
      </c>
      <c r="G18" s="280">
        <v>57027589</v>
      </c>
      <c r="H18" s="280">
        <v>65911416.380000003</v>
      </c>
      <c r="I18" s="280">
        <v>77477121</v>
      </c>
      <c r="J18" s="280">
        <v>85393825</v>
      </c>
      <c r="K18" s="280">
        <v>92597696</v>
      </c>
      <c r="L18" s="280">
        <v>95128644.480000004</v>
      </c>
      <c r="M18" s="280">
        <v>84467259.310000002</v>
      </c>
      <c r="N18" s="280">
        <v>79908411.680000007</v>
      </c>
      <c r="O18" s="280">
        <v>83720316.159999996</v>
      </c>
      <c r="P18" s="280">
        <v>87180103.829999998</v>
      </c>
      <c r="Q18" s="280">
        <v>86393070.109999999</v>
      </c>
      <c r="R18" s="280">
        <v>87506812.959999993</v>
      </c>
      <c r="S18" s="280">
        <v>89194002.010000005</v>
      </c>
      <c r="T18" s="280">
        <v>83282383.700000003</v>
      </c>
      <c r="U18" s="280">
        <v>84037698.459999993</v>
      </c>
      <c r="V18" s="280">
        <v>85588265.069999993</v>
      </c>
      <c r="W18" s="280">
        <v>74895446.680000007</v>
      </c>
      <c r="X18" s="280">
        <v>74200233.900000006</v>
      </c>
      <c r="Y18" s="280">
        <v>73362492.120000005</v>
      </c>
      <c r="Z18" s="280">
        <v>73822339.930000007</v>
      </c>
      <c r="AA18" s="280">
        <v>75061924.489999995</v>
      </c>
      <c r="AB18" s="280">
        <v>75860234.519999996</v>
      </c>
      <c r="AC18" s="280">
        <f t="shared" si="0"/>
        <v>73890071.239999995</v>
      </c>
      <c r="AD18" s="280"/>
      <c r="AH18" s="274">
        <v>73.890071239999997</v>
      </c>
    </row>
    <row r="19" spans="1:34">
      <c r="A19" s="278">
        <v>15</v>
      </c>
      <c r="B19" s="279" t="s">
        <v>142</v>
      </c>
      <c r="C19" s="280">
        <v>5185290</v>
      </c>
      <c r="D19" s="280">
        <v>16012026</v>
      </c>
      <c r="E19" s="280">
        <v>23977577</v>
      </c>
      <c r="F19" s="280">
        <v>28707774</v>
      </c>
      <c r="G19" s="280">
        <v>34156839.700000003</v>
      </c>
      <c r="H19" s="280">
        <v>36954309</v>
      </c>
      <c r="I19" s="280">
        <v>44528983</v>
      </c>
      <c r="J19" s="280">
        <v>51962965.25</v>
      </c>
      <c r="K19" s="280">
        <v>59476972</v>
      </c>
      <c r="L19" s="280">
        <v>66239310.719999999</v>
      </c>
      <c r="M19" s="280">
        <v>60735137.25</v>
      </c>
      <c r="N19" s="280">
        <v>60411692.890000008</v>
      </c>
      <c r="O19" s="280">
        <v>60271475.539999999</v>
      </c>
      <c r="P19" s="280">
        <v>61637907.040000007</v>
      </c>
      <c r="Q19" s="280">
        <v>64227212.990000002</v>
      </c>
      <c r="R19" s="280">
        <v>65247591.939999983</v>
      </c>
      <c r="S19" s="280">
        <v>67188553.179999992</v>
      </c>
      <c r="T19" s="280">
        <v>64835228.330000006</v>
      </c>
      <c r="U19" s="280">
        <v>65263769.540000007</v>
      </c>
      <c r="V19" s="280">
        <v>65318584.659999996</v>
      </c>
      <c r="W19" s="280">
        <v>58313226.929999992</v>
      </c>
      <c r="X19" s="280">
        <v>55677479.580000006</v>
      </c>
      <c r="Y19" s="280">
        <v>56406754.759999998</v>
      </c>
      <c r="Z19" s="280">
        <v>56271032.239999995</v>
      </c>
      <c r="AA19" s="280">
        <v>54170062.460000001</v>
      </c>
      <c r="AB19" s="280">
        <v>58387460.550000004</v>
      </c>
      <c r="AC19" s="280">
        <f t="shared" si="0"/>
        <v>56358630.18999999</v>
      </c>
      <c r="AD19" s="280"/>
      <c r="AH19" s="274">
        <v>56.358630189999992</v>
      </c>
    </row>
    <row r="20" spans="1:34">
      <c r="A20" s="278">
        <v>16</v>
      </c>
      <c r="B20" s="279" t="s">
        <v>144</v>
      </c>
      <c r="C20" s="280">
        <v>12892936</v>
      </c>
      <c r="D20" s="280">
        <v>24903196</v>
      </c>
      <c r="E20" s="280">
        <v>33133783</v>
      </c>
      <c r="F20" s="280">
        <v>38663951</v>
      </c>
      <c r="G20" s="280">
        <v>43945745.079999998</v>
      </c>
      <c r="H20" s="280">
        <v>48435952.710000001</v>
      </c>
      <c r="I20" s="280">
        <v>53254055</v>
      </c>
      <c r="J20" s="280">
        <v>56229765.969999999</v>
      </c>
      <c r="K20" s="280">
        <v>60443905</v>
      </c>
      <c r="L20" s="280">
        <v>63495014.439999998</v>
      </c>
      <c r="M20" s="280">
        <v>58217999.240000002</v>
      </c>
      <c r="N20" s="280">
        <v>56555305.20000001</v>
      </c>
      <c r="O20" s="280">
        <v>58320305.589999996</v>
      </c>
      <c r="P20" s="280">
        <v>58005668.82</v>
      </c>
      <c r="Q20" s="280">
        <v>59468569.54999999</v>
      </c>
      <c r="R20" s="280">
        <v>58100445.75999999</v>
      </c>
      <c r="S20" s="280">
        <v>58794745.230000004</v>
      </c>
      <c r="T20" s="280">
        <v>56179153.680000007</v>
      </c>
      <c r="U20" s="280">
        <v>56630431.919999987</v>
      </c>
      <c r="V20" s="280">
        <v>56099418.109999992</v>
      </c>
      <c r="W20" s="280">
        <v>52788996.000000007</v>
      </c>
      <c r="X20" s="280">
        <v>52905865.710000001</v>
      </c>
      <c r="Y20" s="280">
        <v>52994016.090000004</v>
      </c>
      <c r="Z20" s="280">
        <v>53735025.139999993</v>
      </c>
      <c r="AA20" s="280">
        <v>54068510.530000009</v>
      </c>
      <c r="AB20" s="280">
        <v>54924962.829999998</v>
      </c>
      <c r="AC20" s="280">
        <f t="shared" si="0"/>
        <v>57257924.75</v>
      </c>
      <c r="AD20" s="280"/>
      <c r="AH20" s="274">
        <v>57.257924750000001</v>
      </c>
    </row>
    <row r="21" spans="1:34">
      <c r="A21" s="278">
        <v>17</v>
      </c>
      <c r="B21" s="279" t="s">
        <v>145</v>
      </c>
      <c r="C21" s="280">
        <v>8882281</v>
      </c>
      <c r="D21" s="280">
        <v>18219107</v>
      </c>
      <c r="E21" s="280">
        <v>23369404</v>
      </c>
      <c r="F21" s="280">
        <v>27387967</v>
      </c>
      <c r="G21" s="280">
        <v>29972491.5</v>
      </c>
      <c r="H21" s="280">
        <v>36273354.799999997</v>
      </c>
      <c r="I21" s="280">
        <v>45184406</v>
      </c>
      <c r="J21" s="280">
        <v>52775351.340000004</v>
      </c>
      <c r="K21" s="280">
        <v>61426740</v>
      </c>
      <c r="L21" s="280">
        <v>67762071.709999993</v>
      </c>
      <c r="M21" s="280">
        <v>60639465.409999996</v>
      </c>
      <c r="N21" s="280">
        <v>59765106.470000006</v>
      </c>
      <c r="O21" s="280">
        <v>61601373.939999998</v>
      </c>
      <c r="P21" s="280">
        <v>59718732.340000004</v>
      </c>
      <c r="Q21" s="280">
        <v>62885693.379999995</v>
      </c>
      <c r="R21" s="280">
        <v>67186595.699999988</v>
      </c>
      <c r="S21" s="280">
        <v>68474847.930000007</v>
      </c>
      <c r="T21" s="280">
        <v>67290864.25999999</v>
      </c>
      <c r="U21" s="280">
        <v>68684420.189999983</v>
      </c>
      <c r="V21" s="280">
        <v>66782903.160000004</v>
      </c>
      <c r="W21" s="280">
        <v>62415124.119999997</v>
      </c>
      <c r="X21" s="280">
        <v>62294867.290000007</v>
      </c>
      <c r="Y21" s="280">
        <v>61694366.5</v>
      </c>
      <c r="Z21" s="280">
        <v>65184083.079999998</v>
      </c>
      <c r="AA21" s="280">
        <v>65114897.859999992</v>
      </c>
      <c r="AB21" s="280">
        <v>65326363.450000003</v>
      </c>
      <c r="AC21" s="280">
        <f t="shared" si="0"/>
        <v>62861488.650000006</v>
      </c>
      <c r="AD21" s="280"/>
      <c r="AH21" s="274">
        <v>62.861488650000005</v>
      </c>
    </row>
    <row r="22" spans="1:34">
      <c r="A22" s="278">
        <v>18</v>
      </c>
      <c r="B22" s="282" t="s">
        <v>146</v>
      </c>
      <c r="C22" s="280">
        <v>17521098</v>
      </c>
      <c r="D22" s="280">
        <v>44459769</v>
      </c>
      <c r="E22" s="280">
        <v>51379851</v>
      </c>
      <c r="F22" s="280">
        <v>60873049</v>
      </c>
      <c r="G22" s="280">
        <v>62011793.859999999</v>
      </c>
      <c r="H22" s="280">
        <v>61136690.539999999</v>
      </c>
      <c r="I22" s="280">
        <v>66366249</v>
      </c>
      <c r="J22" s="280">
        <v>71529017.140000001</v>
      </c>
      <c r="K22" s="280">
        <v>75057332</v>
      </c>
      <c r="L22" s="280">
        <v>79795255.579999998</v>
      </c>
      <c r="M22" s="280">
        <v>69491215.219999999</v>
      </c>
      <c r="N22" s="280">
        <v>66090193.810000002</v>
      </c>
      <c r="O22" s="280">
        <v>68061478.059999987</v>
      </c>
      <c r="P22" s="280">
        <v>70795183.450000018</v>
      </c>
      <c r="Q22" s="280">
        <v>72139779.529999986</v>
      </c>
      <c r="R22" s="280">
        <v>71865694.149999991</v>
      </c>
      <c r="S22" s="280">
        <v>69217106.409999996</v>
      </c>
      <c r="T22" s="280">
        <v>65574982.670000002</v>
      </c>
      <c r="U22" s="280">
        <v>66493684.620000005</v>
      </c>
      <c r="V22" s="280">
        <v>70308561.850000009</v>
      </c>
      <c r="W22" s="280">
        <v>70739983.129999995</v>
      </c>
      <c r="X22" s="280">
        <v>72707033.109999999</v>
      </c>
      <c r="Y22" s="280">
        <v>75868075.109999999</v>
      </c>
      <c r="Z22" s="280">
        <v>79770052.63000001</v>
      </c>
      <c r="AA22" s="280">
        <v>80349220.840000004</v>
      </c>
      <c r="AB22" s="280">
        <v>83992700.399999991</v>
      </c>
      <c r="AC22" s="280">
        <f t="shared" si="0"/>
        <v>84505931.590000004</v>
      </c>
      <c r="AD22" s="280"/>
      <c r="AH22" s="274">
        <v>84.505931590000003</v>
      </c>
    </row>
    <row r="23" spans="1:34">
      <c r="A23" s="278">
        <v>19</v>
      </c>
      <c r="B23" s="279" t="s">
        <v>147</v>
      </c>
      <c r="C23" s="280">
        <v>348087</v>
      </c>
      <c r="D23" s="280">
        <v>3236515</v>
      </c>
      <c r="E23" s="280">
        <v>6816113</v>
      </c>
      <c r="F23" s="280">
        <v>10792060</v>
      </c>
      <c r="G23" s="280">
        <v>13624057.199999999</v>
      </c>
      <c r="H23" s="280">
        <v>15672151.5</v>
      </c>
      <c r="I23" s="280">
        <v>19484600</v>
      </c>
      <c r="J23" s="280">
        <v>22039453.84</v>
      </c>
      <c r="K23" s="280">
        <v>23860574</v>
      </c>
      <c r="L23" s="280">
        <v>26812417.859999999</v>
      </c>
      <c r="M23" s="280">
        <v>24347337.170000002</v>
      </c>
      <c r="N23" s="280">
        <v>24981234.989999998</v>
      </c>
      <c r="O23" s="280">
        <v>28059253.25</v>
      </c>
      <c r="P23" s="280">
        <v>31691045.379999999</v>
      </c>
      <c r="Q23" s="280">
        <v>36061563.539999999</v>
      </c>
      <c r="R23" s="280">
        <v>38437844.769999996</v>
      </c>
      <c r="S23" s="280">
        <v>42579265.079999998</v>
      </c>
      <c r="T23" s="280">
        <v>44658490.249999993</v>
      </c>
      <c r="U23" s="280">
        <v>49346853.599999994</v>
      </c>
      <c r="V23" s="280">
        <v>56522260.260000005</v>
      </c>
      <c r="W23" s="280">
        <v>53565855.910000011</v>
      </c>
      <c r="X23" s="280">
        <v>54211051.129999988</v>
      </c>
      <c r="Y23" s="280">
        <v>57349284.439999998</v>
      </c>
      <c r="Z23" s="280">
        <v>60035038.009999998</v>
      </c>
      <c r="AA23" s="280">
        <v>61157311.670000009</v>
      </c>
      <c r="AB23" s="280">
        <v>66052977.769999996</v>
      </c>
      <c r="AC23" s="280">
        <f t="shared" si="0"/>
        <v>67781774.819999993</v>
      </c>
      <c r="AD23" s="280"/>
      <c r="AH23" s="274">
        <v>67.781774819999995</v>
      </c>
    </row>
    <row r="24" spans="1:34">
      <c r="A24" s="278">
        <v>20</v>
      </c>
      <c r="B24" s="279" t="s">
        <v>151</v>
      </c>
      <c r="C24" s="280">
        <v>15882691</v>
      </c>
      <c r="D24" s="280">
        <v>32206956</v>
      </c>
      <c r="E24" s="280">
        <v>40134041</v>
      </c>
      <c r="F24" s="280">
        <v>54078444</v>
      </c>
      <c r="G24" s="280">
        <v>63817631.560000002</v>
      </c>
      <c r="H24" s="280">
        <v>73234749.120000005</v>
      </c>
      <c r="I24" s="280">
        <v>97362804</v>
      </c>
      <c r="J24" s="280">
        <v>114825910.23</v>
      </c>
      <c r="K24" s="280">
        <v>123731689</v>
      </c>
      <c r="L24" s="280">
        <v>135214941.72</v>
      </c>
      <c r="M24" s="280">
        <v>121110948.14</v>
      </c>
      <c r="N24" s="280">
        <v>116141093.94</v>
      </c>
      <c r="O24" s="280">
        <v>119402401.14000002</v>
      </c>
      <c r="P24" s="280">
        <v>126167612.43999997</v>
      </c>
      <c r="Q24" s="280">
        <v>128681581.14000002</v>
      </c>
      <c r="R24" s="280">
        <v>125714693.95000002</v>
      </c>
      <c r="S24" s="280">
        <v>123940166.42999999</v>
      </c>
      <c r="T24" s="280">
        <v>121199336.55999999</v>
      </c>
      <c r="U24" s="280">
        <v>122053303.67</v>
      </c>
      <c r="V24" s="280">
        <v>122352426.15000002</v>
      </c>
      <c r="W24" s="280">
        <v>112663385.34999999</v>
      </c>
      <c r="X24" s="280">
        <v>109202526.58</v>
      </c>
      <c r="Y24" s="280">
        <v>114356289.27</v>
      </c>
      <c r="Z24" s="280">
        <v>111391123.95</v>
      </c>
      <c r="AA24" s="280">
        <v>109200787.09999999</v>
      </c>
      <c r="AB24" s="280">
        <v>111942285.37</v>
      </c>
      <c r="AC24" s="280">
        <f t="shared" si="0"/>
        <v>110209894.94</v>
      </c>
      <c r="AD24" s="280"/>
      <c r="AH24" s="274">
        <v>110.20989494</v>
      </c>
    </row>
    <row r="25" spans="1:34">
      <c r="A25" s="278">
        <v>21</v>
      </c>
      <c r="B25" s="279" t="s">
        <v>152</v>
      </c>
      <c r="C25" s="280">
        <v>19791070</v>
      </c>
      <c r="D25" s="280">
        <v>34477592</v>
      </c>
      <c r="E25" s="280">
        <v>35731092</v>
      </c>
      <c r="F25" s="280">
        <v>43051155</v>
      </c>
      <c r="G25" s="280">
        <v>49772358.270000003</v>
      </c>
      <c r="H25" s="280">
        <v>57710226.829999998</v>
      </c>
      <c r="I25" s="280">
        <v>67467651</v>
      </c>
      <c r="J25" s="280">
        <v>73117845.530000001</v>
      </c>
      <c r="K25" s="280">
        <v>78361296</v>
      </c>
      <c r="L25" s="280">
        <v>82931736.269999996</v>
      </c>
      <c r="M25" s="280">
        <v>74201061.629999995</v>
      </c>
      <c r="N25" s="280">
        <v>72805996.620000005</v>
      </c>
      <c r="O25" s="280">
        <v>73585863.199999988</v>
      </c>
      <c r="P25" s="280">
        <v>75751869.340000018</v>
      </c>
      <c r="Q25" s="280">
        <v>76856071.760000005</v>
      </c>
      <c r="R25" s="280">
        <v>76213310.410000011</v>
      </c>
      <c r="S25" s="280">
        <v>79133168.159999996</v>
      </c>
      <c r="T25" s="280">
        <v>75473013.359999999</v>
      </c>
      <c r="U25" s="280">
        <v>77097074.930000022</v>
      </c>
      <c r="V25" s="280">
        <v>77910935.199999988</v>
      </c>
      <c r="W25" s="280">
        <v>71499311.560000002</v>
      </c>
      <c r="X25" s="280">
        <v>72123897.079999998</v>
      </c>
      <c r="Y25" s="280">
        <v>74747047.290000021</v>
      </c>
      <c r="Z25" s="280">
        <v>75401077.510000005</v>
      </c>
      <c r="AA25" s="280">
        <v>75679083.210000008</v>
      </c>
      <c r="AB25" s="280">
        <v>78589175.420000002</v>
      </c>
      <c r="AC25" s="280">
        <f t="shared" si="0"/>
        <v>77650758.560000002</v>
      </c>
      <c r="AD25" s="280"/>
      <c r="AH25" s="274">
        <v>77.65075856</v>
      </c>
    </row>
    <row r="26" spans="1:34">
      <c r="A26" s="278">
        <v>22</v>
      </c>
      <c r="B26" s="279" t="s">
        <v>154</v>
      </c>
      <c r="C26" s="280">
        <v>11356</v>
      </c>
      <c r="D26" s="280">
        <v>8275762</v>
      </c>
      <c r="E26" s="280">
        <v>20914613</v>
      </c>
      <c r="F26" s="280">
        <v>33416371</v>
      </c>
      <c r="G26" s="280">
        <v>43579250.579999998</v>
      </c>
      <c r="H26" s="280">
        <v>48486200.759999998</v>
      </c>
      <c r="I26" s="280">
        <v>55442642</v>
      </c>
      <c r="J26" s="280">
        <v>63128708.689999998</v>
      </c>
      <c r="K26" s="280">
        <v>67410967</v>
      </c>
      <c r="L26" s="280">
        <v>72771514.469999999</v>
      </c>
      <c r="M26" s="280">
        <v>66984187.440000005</v>
      </c>
      <c r="N26" s="280">
        <v>66016237.569999993</v>
      </c>
      <c r="O26" s="280">
        <v>69678663.660000011</v>
      </c>
      <c r="P26" s="280">
        <v>71182320.910000011</v>
      </c>
      <c r="Q26" s="280">
        <v>71842967.569999993</v>
      </c>
      <c r="R26" s="280">
        <v>72193600.810000002</v>
      </c>
      <c r="S26" s="280">
        <v>73372846.900000006</v>
      </c>
      <c r="T26" s="280">
        <v>69372240.879999995</v>
      </c>
      <c r="U26" s="280">
        <v>69419769.949999988</v>
      </c>
      <c r="V26" s="280">
        <v>69605532.519999996</v>
      </c>
      <c r="W26" s="280">
        <v>63669829.729999997</v>
      </c>
      <c r="X26" s="280">
        <v>63642789.100000001</v>
      </c>
      <c r="Y26" s="280">
        <v>63521371.649999999</v>
      </c>
      <c r="Z26" s="280">
        <v>63531110.680000007</v>
      </c>
      <c r="AA26" s="280">
        <v>61627685.480000004</v>
      </c>
      <c r="AB26" s="280">
        <v>64168977.159999982</v>
      </c>
      <c r="AC26" s="280">
        <f t="shared" si="0"/>
        <v>61281700.849999994</v>
      </c>
      <c r="AD26" s="280"/>
      <c r="AH26" s="274">
        <v>61.281700849999993</v>
      </c>
    </row>
    <row r="27" spans="1:34">
      <c r="A27" s="278">
        <v>23</v>
      </c>
      <c r="B27" s="279" t="s">
        <v>155</v>
      </c>
      <c r="C27" s="280">
        <v>6209944</v>
      </c>
      <c r="D27" s="280">
        <v>17803849</v>
      </c>
      <c r="E27" s="280">
        <v>27191977</v>
      </c>
      <c r="F27" s="280">
        <v>36254723</v>
      </c>
      <c r="G27" s="280">
        <v>42073080.659999996</v>
      </c>
      <c r="H27" s="280">
        <v>47766869.950000003</v>
      </c>
      <c r="I27" s="280">
        <v>57560132</v>
      </c>
      <c r="J27" s="280">
        <v>65230418.909999996</v>
      </c>
      <c r="K27" s="280">
        <v>72624848</v>
      </c>
      <c r="L27" s="280">
        <v>80496730.959999993</v>
      </c>
      <c r="M27" s="280">
        <v>74925524.25999999</v>
      </c>
      <c r="N27" s="280">
        <v>75346498.469999999</v>
      </c>
      <c r="O27" s="280">
        <v>78116777.969999984</v>
      </c>
      <c r="P27" s="280">
        <v>79197566.609999999</v>
      </c>
      <c r="Q27" s="280">
        <v>80841170.920000002</v>
      </c>
      <c r="R27" s="280">
        <v>84645644.609999999</v>
      </c>
      <c r="S27" s="280">
        <v>86604558.099999994</v>
      </c>
      <c r="T27" s="280">
        <v>80949275.24000001</v>
      </c>
      <c r="U27" s="280">
        <v>83220508.820000008</v>
      </c>
      <c r="V27" s="280">
        <v>83581310.210000008</v>
      </c>
      <c r="W27" s="280">
        <v>78899226.329999998</v>
      </c>
      <c r="X27" s="280">
        <v>79046839.169999987</v>
      </c>
      <c r="Y27" s="280">
        <v>79400240.340000004</v>
      </c>
      <c r="Z27" s="280">
        <v>82381143.150000021</v>
      </c>
      <c r="AA27" s="280">
        <v>82563313.290000007</v>
      </c>
      <c r="AB27" s="280">
        <v>83996241.790000007</v>
      </c>
      <c r="AC27" s="280">
        <f t="shared" si="0"/>
        <v>83357567.149999976</v>
      </c>
      <c r="AD27" s="280"/>
      <c r="AE27" s="283"/>
      <c r="AH27" s="274">
        <v>83.35756714999998</v>
      </c>
    </row>
    <row r="28" spans="1:34">
      <c r="A28" s="278">
        <v>24</v>
      </c>
      <c r="B28" s="279" t="s">
        <v>159</v>
      </c>
      <c r="C28" s="280">
        <v>0</v>
      </c>
      <c r="D28" s="280">
        <v>505280</v>
      </c>
      <c r="E28" s="280">
        <v>1984587</v>
      </c>
      <c r="F28" s="280">
        <v>2488418</v>
      </c>
      <c r="G28" s="280">
        <v>3289324.92</v>
      </c>
      <c r="H28" s="280">
        <v>7435444.0999999996</v>
      </c>
      <c r="I28" s="280">
        <v>9318638</v>
      </c>
      <c r="J28" s="280">
        <v>11254335.74</v>
      </c>
      <c r="K28" s="280">
        <v>11542272</v>
      </c>
      <c r="L28" s="280">
        <v>11814413.880000001</v>
      </c>
      <c r="M28" s="280">
        <v>10371760.710000001</v>
      </c>
      <c r="N28" s="280">
        <v>9627072.660000002</v>
      </c>
      <c r="O28" s="280">
        <v>10133385.539999999</v>
      </c>
      <c r="P28" s="280">
        <v>10312411.08</v>
      </c>
      <c r="Q28" s="280">
        <v>10784377.969999999</v>
      </c>
      <c r="R28" s="280">
        <v>10670820.52</v>
      </c>
      <c r="S28" s="280">
        <v>10884191.609999999</v>
      </c>
      <c r="T28" s="280">
        <v>9953208.6699999981</v>
      </c>
      <c r="U28" s="280">
        <v>9749712.8900000006</v>
      </c>
      <c r="V28" s="280">
        <v>9303211.7100000009</v>
      </c>
      <c r="W28" s="280">
        <v>7761178.5499999998</v>
      </c>
      <c r="X28" s="280">
        <v>7281530.4699999997</v>
      </c>
      <c r="Y28" s="280">
        <v>7514346.4399999995</v>
      </c>
      <c r="Z28" s="280">
        <v>8252420.6899999995</v>
      </c>
      <c r="AA28" s="280">
        <v>8298522.6100000013</v>
      </c>
      <c r="AB28" s="280">
        <v>8997960.4100000001</v>
      </c>
      <c r="AC28" s="280">
        <f t="shared" si="0"/>
        <v>9850088.2300000004</v>
      </c>
      <c r="AD28" s="280"/>
      <c r="AE28" s="283"/>
      <c r="AH28" s="274">
        <v>9.8500882300000008</v>
      </c>
    </row>
    <row r="29" spans="1:34">
      <c r="A29" s="278">
        <v>25</v>
      </c>
      <c r="B29" s="282" t="s">
        <v>161</v>
      </c>
      <c r="C29" s="280">
        <v>789096</v>
      </c>
      <c r="D29" s="280">
        <v>6259110</v>
      </c>
      <c r="E29" s="280">
        <v>10041080</v>
      </c>
      <c r="F29" s="280">
        <v>14469874</v>
      </c>
      <c r="G29" s="280">
        <v>17784621.899999999</v>
      </c>
      <c r="H29" s="280">
        <v>22189541.300000001</v>
      </c>
      <c r="I29" s="280">
        <v>27461682</v>
      </c>
      <c r="J29" s="280">
        <v>30369624.93</v>
      </c>
      <c r="K29" s="280">
        <v>34569402</v>
      </c>
      <c r="L29" s="280">
        <v>35895370.780000001</v>
      </c>
      <c r="M29" s="280">
        <v>31145528.669999998</v>
      </c>
      <c r="N29" s="280">
        <v>29821820.640000004</v>
      </c>
      <c r="O29" s="280">
        <v>30918183.82</v>
      </c>
      <c r="P29" s="280">
        <v>30995436.000000004</v>
      </c>
      <c r="Q29" s="280">
        <v>31125947.700000003</v>
      </c>
      <c r="R29" s="280">
        <v>30013661.620000001</v>
      </c>
      <c r="S29" s="280">
        <v>29947302.640000001</v>
      </c>
      <c r="T29" s="280">
        <v>28196036.07</v>
      </c>
      <c r="U29" s="280">
        <v>28553964.600000001</v>
      </c>
      <c r="V29" s="280">
        <v>27583235.030000001</v>
      </c>
      <c r="W29" s="280">
        <v>24788263.899999999</v>
      </c>
      <c r="X29" s="280">
        <v>26153986.770000003</v>
      </c>
      <c r="Y29" s="280">
        <v>28842530.389999997</v>
      </c>
      <c r="Z29" s="280">
        <v>28095943.280000001</v>
      </c>
      <c r="AA29" s="280">
        <v>27466983.75</v>
      </c>
      <c r="AB29" s="280">
        <v>27496648.160000004</v>
      </c>
      <c r="AC29" s="280">
        <f t="shared" si="0"/>
        <v>28426650.629999999</v>
      </c>
      <c r="AD29" s="280"/>
      <c r="AE29" s="283"/>
      <c r="AH29" s="274">
        <v>28.426650629999997</v>
      </c>
    </row>
    <row r="30" spans="1:34">
      <c r="A30" s="278">
        <v>26</v>
      </c>
      <c r="B30" s="279" t="s">
        <v>166</v>
      </c>
      <c r="C30" s="280">
        <v>1030845</v>
      </c>
      <c r="D30" s="280">
        <v>4233094</v>
      </c>
      <c r="E30" s="280">
        <v>8132171</v>
      </c>
      <c r="F30" s="280">
        <v>14884536</v>
      </c>
      <c r="G30" s="280">
        <v>16614107.75</v>
      </c>
      <c r="H30" s="280">
        <v>18918503.800000001</v>
      </c>
      <c r="I30" s="280">
        <v>20677806</v>
      </c>
      <c r="J30" s="280">
        <v>22588810.34</v>
      </c>
      <c r="K30" s="280">
        <v>24527391</v>
      </c>
      <c r="L30" s="280">
        <v>26415200.68</v>
      </c>
      <c r="M30" s="280">
        <v>22529561.469999999</v>
      </c>
      <c r="N30" s="280">
        <v>21079372.050000004</v>
      </c>
      <c r="O30" s="280">
        <v>21963898.539999999</v>
      </c>
      <c r="P30" s="280">
        <v>22749351.990000002</v>
      </c>
      <c r="Q30" s="280">
        <v>23082623.609999996</v>
      </c>
      <c r="R30" s="280">
        <v>23733444.169999998</v>
      </c>
      <c r="S30" s="280">
        <v>23483897.169999998</v>
      </c>
      <c r="T30" s="280">
        <v>22341508.770000003</v>
      </c>
      <c r="U30" s="280">
        <v>22317740.949999999</v>
      </c>
      <c r="V30" s="280">
        <v>23511315.729999997</v>
      </c>
      <c r="W30" s="280">
        <v>21423048.699999999</v>
      </c>
      <c r="X30" s="280">
        <v>21575746.540000003</v>
      </c>
      <c r="Y30" s="280">
        <v>23019972.590000004</v>
      </c>
      <c r="Z30" s="280">
        <v>23443276.629999999</v>
      </c>
      <c r="AA30" s="280">
        <v>23032562.789999999</v>
      </c>
      <c r="AB30" s="280">
        <v>20852827.550000001</v>
      </c>
      <c r="AC30" s="280">
        <f t="shared" si="0"/>
        <v>19862345.299999997</v>
      </c>
      <c r="AD30" s="280"/>
      <c r="AE30" s="283"/>
      <c r="AH30" s="274">
        <v>19.862345299999998</v>
      </c>
    </row>
    <row r="31" spans="1:34">
      <c r="A31" s="278">
        <v>27</v>
      </c>
      <c r="B31" s="279" t="s">
        <v>38</v>
      </c>
      <c r="C31" s="280">
        <v>8888790</v>
      </c>
      <c r="D31" s="280">
        <v>22152420</v>
      </c>
      <c r="E31" s="280">
        <v>24974921</v>
      </c>
      <c r="F31" s="280">
        <v>34408350</v>
      </c>
      <c r="G31" s="280">
        <v>42147801.899999999</v>
      </c>
      <c r="H31" s="280">
        <v>47314721.100000001</v>
      </c>
      <c r="I31" s="280">
        <v>52623629</v>
      </c>
      <c r="J31" s="280">
        <v>54151442.460000001</v>
      </c>
      <c r="K31" s="280">
        <v>56345872</v>
      </c>
      <c r="L31" s="280">
        <v>57977102.390000001</v>
      </c>
      <c r="M31" s="280">
        <v>54775148.929999992</v>
      </c>
      <c r="N31" s="280">
        <v>54101102.040000007</v>
      </c>
      <c r="O31" s="280">
        <v>56297627.899999999</v>
      </c>
      <c r="P31" s="280">
        <v>58110955.689999998</v>
      </c>
      <c r="Q31" s="280">
        <v>58659456.439999998</v>
      </c>
      <c r="R31" s="280">
        <v>58629142.629999988</v>
      </c>
      <c r="S31" s="280">
        <v>58709215.800000004</v>
      </c>
      <c r="T31" s="280">
        <v>56107009.560000002</v>
      </c>
      <c r="U31" s="280">
        <v>55868897.509999998</v>
      </c>
      <c r="V31" s="280">
        <v>55013142.670000009</v>
      </c>
      <c r="W31" s="280">
        <v>50781660.090000004</v>
      </c>
      <c r="X31" s="280">
        <v>51944253.640000001</v>
      </c>
      <c r="Y31" s="280">
        <v>51581759.5</v>
      </c>
      <c r="Z31" s="280">
        <v>53182056.729999997</v>
      </c>
      <c r="AA31" s="280">
        <v>52884289.659999996</v>
      </c>
      <c r="AB31" s="280">
        <v>53601233.780000001</v>
      </c>
      <c r="AC31" s="280">
        <f t="shared" si="0"/>
        <v>52795623.890000001</v>
      </c>
      <c r="AD31" s="280"/>
      <c r="AH31" s="274">
        <v>52.795623890000002</v>
      </c>
    </row>
    <row r="32" spans="1:34">
      <c r="A32" s="278">
        <v>28</v>
      </c>
      <c r="B32" s="279" t="s">
        <v>174</v>
      </c>
      <c r="C32" s="280">
        <v>1703209</v>
      </c>
      <c r="D32" s="280">
        <v>12857992</v>
      </c>
      <c r="E32" s="280">
        <v>23299598</v>
      </c>
      <c r="F32" s="280">
        <v>32321486</v>
      </c>
      <c r="G32" s="280">
        <v>45336643.869999997</v>
      </c>
      <c r="H32" s="280">
        <v>53923990.5</v>
      </c>
      <c r="I32" s="280">
        <v>64888765</v>
      </c>
      <c r="J32" s="280">
        <v>71557259.5</v>
      </c>
      <c r="K32" s="280">
        <v>78260969</v>
      </c>
      <c r="L32" s="280">
        <v>84436696.510000005</v>
      </c>
      <c r="M32" s="280">
        <v>76144619.639999986</v>
      </c>
      <c r="N32" s="280">
        <v>75377775.890000001</v>
      </c>
      <c r="O32" s="280">
        <v>79362126.609999999</v>
      </c>
      <c r="P32" s="280">
        <v>81940218.519999981</v>
      </c>
      <c r="Q32" s="280">
        <v>84033308.760000005</v>
      </c>
      <c r="R32" s="280">
        <v>87459035.650000006</v>
      </c>
      <c r="S32" s="280">
        <v>94931183.269999996</v>
      </c>
      <c r="T32" s="280">
        <v>94451837.61999999</v>
      </c>
      <c r="U32" s="280">
        <v>109542887.94</v>
      </c>
      <c r="V32" s="280">
        <v>111583555.14</v>
      </c>
      <c r="W32" s="280">
        <v>101000103.43000001</v>
      </c>
      <c r="X32" s="280">
        <v>103500568.12</v>
      </c>
      <c r="Y32" s="280">
        <v>109161212.02</v>
      </c>
      <c r="Z32" s="280">
        <v>111651602.38999999</v>
      </c>
      <c r="AA32" s="280">
        <v>115293165.35999998</v>
      </c>
      <c r="AB32" s="280">
        <v>109477625.86000001</v>
      </c>
      <c r="AC32" s="280">
        <f t="shared" si="0"/>
        <v>110856167.75999999</v>
      </c>
      <c r="AD32" s="280"/>
      <c r="AH32" s="274">
        <v>110.85616775999999</v>
      </c>
    </row>
    <row r="33" spans="1:34">
      <c r="A33" s="278">
        <v>29</v>
      </c>
      <c r="B33" s="279" t="s">
        <v>175</v>
      </c>
      <c r="C33" s="280">
        <v>1141992</v>
      </c>
      <c r="D33" s="280">
        <v>11029434</v>
      </c>
      <c r="E33" s="280">
        <v>18666187</v>
      </c>
      <c r="F33" s="280">
        <v>26975073</v>
      </c>
      <c r="G33" s="280">
        <v>32745484.600000001</v>
      </c>
      <c r="H33" s="280">
        <v>38055507.799999997</v>
      </c>
      <c r="I33" s="280">
        <v>44297089</v>
      </c>
      <c r="J33" s="280">
        <v>49192195.210000001</v>
      </c>
      <c r="K33" s="280">
        <v>55607134</v>
      </c>
      <c r="L33" s="280">
        <v>60757743.280000001</v>
      </c>
      <c r="M33" s="280">
        <v>57199692.670000002</v>
      </c>
      <c r="N33" s="280">
        <v>59977617.629999995</v>
      </c>
      <c r="O33" s="280">
        <v>63256369.760000005</v>
      </c>
      <c r="P33" s="280">
        <v>67233711.299999997</v>
      </c>
      <c r="Q33" s="280">
        <v>70236333.689999998</v>
      </c>
      <c r="R33" s="280">
        <v>74836813.909999996</v>
      </c>
      <c r="S33" s="280">
        <v>79020729.420000002</v>
      </c>
      <c r="T33" s="280">
        <v>81735012.550000012</v>
      </c>
      <c r="U33" s="280">
        <v>85988380.86999999</v>
      </c>
      <c r="V33" s="280">
        <v>88533566.150000006</v>
      </c>
      <c r="W33" s="280">
        <v>87822812.060000002</v>
      </c>
      <c r="X33" s="280">
        <v>90342545.319999993</v>
      </c>
      <c r="Y33" s="280">
        <v>93116687.859999999</v>
      </c>
      <c r="Z33" s="280">
        <v>97384531.849999994</v>
      </c>
      <c r="AA33" s="280">
        <v>97761233.600000009</v>
      </c>
      <c r="AB33" s="280">
        <v>105458372.16000001</v>
      </c>
      <c r="AC33" s="280">
        <f t="shared" si="0"/>
        <v>106057102.17999999</v>
      </c>
      <c r="AD33" s="280"/>
      <c r="AH33" s="274">
        <v>106.05710217999999</v>
      </c>
    </row>
    <row r="34" spans="1:34">
      <c r="A34" s="278">
        <v>30</v>
      </c>
      <c r="B34" s="279" t="s">
        <v>39</v>
      </c>
      <c r="C34" s="280">
        <v>1815792</v>
      </c>
      <c r="D34" s="280">
        <v>2714594</v>
      </c>
      <c r="E34" s="280">
        <v>5277503</v>
      </c>
      <c r="F34" s="280">
        <v>10623605</v>
      </c>
      <c r="G34" s="280">
        <v>16596508.26</v>
      </c>
      <c r="H34" s="280">
        <v>24021747.879999999</v>
      </c>
      <c r="I34" s="280">
        <v>29728048</v>
      </c>
      <c r="J34" s="280">
        <v>33125992.280000001</v>
      </c>
      <c r="K34" s="280">
        <v>36386819</v>
      </c>
      <c r="L34" s="280">
        <v>37649552.829999998</v>
      </c>
      <c r="M34" s="280">
        <v>34064027.840000004</v>
      </c>
      <c r="N34" s="280">
        <v>31892973.650000002</v>
      </c>
      <c r="O34" s="280">
        <v>31018282.320000004</v>
      </c>
      <c r="P34" s="280">
        <v>30883989.129999999</v>
      </c>
      <c r="Q34" s="280">
        <v>31709830.040000003</v>
      </c>
      <c r="R34" s="280">
        <v>32052901.41</v>
      </c>
      <c r="S34" s="280">
        <v>33297272.350000005</v>
      </c>
      <c r="T34" s="280">
        <v>31567283.370000001</v>
      </c>
      <c r="U34" s="280">
        <v>31854316.710000001</v>
      </c>
      <c r="V34" s="280">
        <v>31424190.889999993</v>
      </c>
      <c r="W34" s="280">
        <v>29671353.130000003</v>
      </c>
      <c r="X34" s="280">
        <v>30077711.860000003</v>
      </c>
      <c r="Y34" s="280">
        <v>31084714.550000001</v>
      </c>
      <c r="Z34" s="280">
        <v>32992353.389999997</v>
      </c>
      <c r="AA34" s="280">
        <v>30801195.800000008</v>
      </c>
      <c r="AB34" s="280">
        <v>31076310.57</v>
      </c>
      <c r="AC34" s="280">
        <f t="shared" si="0"/>
        <v>30265707.479999997</v>
      </c>
      <c r="AD34" s="280"/>
      <c r="AH34" s="274">
        <v>30.265707479999996</v>
      </c>
    </row>
    <row r="35" spans="1:34">
      <c r="A35" s="278">
        <v>31</v>
      </c>
      <c r="B35" s="279" t="s">
        <v>177</v>
      </c>
      <c r="C35" s="280">
        <v>2146003</v>
      </c>
      <c r="D35" s="280">
        <v>6693949</v>
      </c>
      <c r="E35" s="280">
        <v>11025613</v>
      </c>
      <c r="F35" s="280">
        <v>15607401</v>
      </c>
      <c r="G35" s="280">
        <v>17722819.309999999</v>
      </c>
      <c r="H35" s="280">
        <v>20685119.09</v>
      </c>
      <c r="I35" s="280">
        <v>25871438</v>
      </c>
      <c r="J35" s="280">
        <v>29161097.329999998</v>
      </c>
      <c r="K35" s="280">
        <v>31329464</v>
      </c>
      <c r="L35" s="280">
        <v>34363316.490000002</v>
      </c>
      <c r="M35" s="280">
        <v>31346707.750000004</v>
      </c>
      <c r="N35" s="280">
        <v>29760849.640000001</v>
      </c>
      <c r="O35" s="280">
        <v>30952517.290000007</v>
      </c>
      <c r="P35" s="280">
        <v>32118731.880000003</v>
      </c>
      <c r="Q35" s="280">
        <v>33374783.080000002</v>
      </c>
      <c r="R35" s="280">
        <v>33870407.93</v>
      </c>
      <c r="S35" s="280">
        <v>34765902</v>
      </c>
      <c r="T35" s="280">
        <v>33368938.350000001</v>
      </c>
      <c r="U35" s="280">
        <v>31325668.059999999</v>
      </c>
      <c r="V35" s="280">
        <v>30695265.340000004</v>
      </c>
      <c r="W35" s="280">
        <v>26013535.349999998</v>
      </c>
      <c r="X35" s="280">
        <v>26635127.98</v>
      </c>
      <c r="Y35" s="280">
        <v>28786766.799999997</v>
      </c>
      <c r="Z35" s="280">
        <v>28793677.629999999</v>
      </c>
      <c r="AA35" s="280">
        <v>28850082.090000004</v>
      </c>
      <c r="AB35" s="280">
        <v>29300516.120000001</v>
      </c>
      <c r="AC35" s="280">
        <f t="shared" si="0"/>
        <v>29226804.269999996</v>
      </c>
      <c r="AD35" s="280"/>
      <c r="AH35" s="274">
        <v>29.226804269999995</v>
      </c>
    </row>
    <row r="36" spans="1:34">
      <c r="A36" s="278">
        <v>32</v>
      </c>
      <c r="B36" s="282" t="s">
        <v>1464</v>
      </c>
      <c r="C36" s="284">
        <v>211319751</v>
      </c>
      <c r="D36" s="284">
        <v>551431696</v>
      </c>
      <c r="E36" s="284">
        <v>745524325</v>
      </c>
      <c r="F36" s="284">
        <v>963832773</v>
      </c>
      <c r="G36" s="284">
        <v>1131288009</v>
      </c>
      <c r="H36" s="284">
        <v>1306707971.5699997</v>
      </c>
      <c r="I36" s="284">
        <v>1542948218</v>
      </c>
      <c r="J36" s="284">
        <v>1724590985.22</v>
      </c>
      <c r="K36" s="284">
        <v>1878046121</v>
      </c>
      <c r="L36" s="284">
        <v>2034541146.1700001</v>
      </c>
      <c r="M36" s="284">
        <v>1847321200.2400005</v>
      </c>
      <c r="N36" s="284">
        <v>1804356770.5400007</v>
      </c>
      <c r="O36" s="284">
        <v>1882414518.4399998</v>
      </c>
      <c r="P36" s="284">
        <v>1949117045.4000003</v>
      </c>
      <c r="Q36" s="284">
        <v>2003105506.8699999</v>
      </c>
      <c r="R36" s="284">
        <v>2053645168.6300001</v>
      </c>
      <c r="S36" s="284">
        <v>2118551081.7900002</v>
      </c>
      <c r="T36" s="284">
        <v>2039969557.5899994</v>
      </c>
      <c r="U36" s="284">
        <v>2090823049.9700003</v>
      </c>
      <c r="V36" s="284">
        <v>2116752775.9100003</v>
      </c>
      <c r="W36" s="284">
        <v>1962250994.7499998</v>
      </c>
      <c r="X36" s="284">
        <v>1970397695.0899992</v>
      </c>
      <c r="Y36" s="284">
        <v>2027712436.6099999</v>
      </c>
      <c r="Z36" s="284">
        <v>2066437275.5400007</v>
      </c>
      <c r="AA36" s="284">
        <v>2055185557.1299994</v>
      </c>
      <c r="AB36" s="284">
        <f>SUM(AB5:AB35)</f>
        <v>2112497988.9000001</v>
      </c>
      <c r="AC36" s="284">
        <f>SUM(AC5:AC35)</f>
        <v>2100149539.4500003</v>
      </c>
      <c r="AD36" s="284"/>
    </row>
    <row r="37" spans="1:34">
      <c r="A37" s="278">
        <v>33</v>
      </c>
      <c r="B37" s="282"/>
      <c r="C37" s="280"/>
      <c r="D37" s="280"/>
      <c r="E37" s="280"/>
      <c r="F37" s="280"/>
      <c r="G37" s="280"/>
      <c r="H37" s="280"/>
      <c r="I37" s="280"/>
      <c r="J37" s="280"/>
      <c r="K37" s="280"/>
      <c r="L37" s="280"/>
      <c r="M37" s="280"/>
      <c r="N37" s="280"/>
      <c r="O37" s="280"/>
      <c r="P37" s="280"/>
      <c r="Q37" s="280"/>
      <c r="R37" s="282"/>
      <c r="S37" s="282"/>
      <c r="T37" s="282"/>
      <c r="U37" s="280"/>
      <c r="V37" s="280"/>
      <c r="W37" s="280"/>
      <c r="X37" s="280"/>
      <c r="Y37" s="280"/>
      <c r="Z37" s="280"/>
      <c r="AA37" s="280"/>
      <c r="AB37" s="280"/>
      <c r="AC37" s="280"/>
      <c r="AD37" s="280"/>
    </row>
    <row r="38" spans="1:34" s="356" customFormat="1" ht="9">
      <c r="A38" s="355">
        <v>34</v>
      </c>
      <c r="B38" s="356" t="s">
        <v>1465</v>
      </c>
      <c r="C38" s="357">
        <v>62.2</v>
      </c>
      <c r="D38" s="358">
        <v>63.3</v>
      </c>
      <c r="E38" s="358">
        <v>65.599999999999994</v>
      </c>
      <c r="F38" s="358">
        <v>67.3</v>
      </c>
      <c r="G38" s="358">
        <v>67.7</v>
      </c>
      <c r="H38" s="358">
        <v>68</v>
      </c>
      <c r="I38" s="358">
        <v>68.599999999999994</v>
      </c>
      <c r="J38" s="358">
        <v>70.900000000000006</v>
      </c>
      <c r="K38" s="358">
        <v>75.099999999999994</v>
      </c>
      <c r="L38" s="358">
        <v>77.3</v>
      </c>
      <c r="M38" s="358">
        <v>79.599999999999994</v>
      </c>
      <c r="N38" s="358">
        <v>81.3</v>
      </c>
      <c r="O38" s="358">
        <v>83</v>
      </c>
      <c r="P38" s="358">
        <v>86.2</v>
      </c>
      <c r="Q38" s="358">
        <v>87.9</v>
      </c>
      <c r="R38" s="358">
        <v>91.8</v>
      </c>
      <c r="S38" s="357">
        <v>92.9</v>
      </c>
      <c r="T38" s="357">
        <v>95.8</v>
      </c>
      <c r="U38" s="357">
        <v>99.2</v>
      </c>
      <c r="V38" s="358">
        <v>100.4</v>
      </c>
      <c r="W38" s="358">
        <v>102.6</v>
      </c>
      <c r="X38" s="358">
        <v>105.9</v>
      </c>
      <c r="Y38" s="358">
        <v>107.1</v>
      </c>
      <c r="Z38" s="358">
        <v>108.6</v>
      </c>
      <c r="AA38" s="358">
        <v>111</v>
      </c>
      <c r="AB38" s="358">
        <v>113.8</v>
      </c>
      <c r="AC38" s="358">
        <v>113.3</v>
      </c>
      <c r="AD38" s="358"/>
    </row>
    <row r="39" spans="1:34">
      <c r="A39" s="278">
        <v>35</v>
      </c>
      <c r="B39" s="279"/>
      <c r="C39" s="280"/>
      <c r="D39" s="280"/>
      <c r="E39" s="280"/>
      <c r="F39" s="280"/>
      <c r="G39" s="280"/>
      <c r="H39" s="280"/>
      <c r="I39" s="280"/>
      <c r="J39" s="280"/>
      <c r="K39" s="280"/>
      <c r="L39" s="280"/>
      <c r="M39" s="280"/>
      <c r="N39" s="280"/>
      <c r="O39" s="280"/>
      <c r="P39" s="280"/>
      <c r="Q39" s="280"/>
      <c r="R39" s="279"/>
      <c r="S39" s="279"/>
      <c r="T39" s="279"/>
      <c r="U39" s="280"/>
      <c r="V39" s="280"/>
      <c r="W39" s="280"/>
      <c r="X39" s="280"/>
      <c r="Y39" s="280"/>
      <c r="Z39" s="280"/>
      <c r="AA39" s="280"/>
      <c r="AB39" s="280"/>
      <c r="AC39" s="280"/>
      <c r="AD39" s="280"/>
    </row>
    <row r="40" spans="1:34" ht="15.75">
      <c r="A40" s="278">
        <v>36</v>
      </c>
      <c r="B40" s="279"/>
      <c r="C40" s="318" t="s">
        <v>1472</v>
      </c>
      <c r="D40" s="318"/>
      <c r="E40" s="318"/>
      <c r="F40" s="319"/>
      <c r="G40" s="319"/>
      <c r="H40" s="280"/>
      <c r="I40" s="280"/>
      <c r="J40" s="280"/>
      <c r="K40" s="280"/>
      <c r="L40" s="280"/>
      <c r="M40" s="280"/>
      <c r="N40" s="280"/>
      <c r="O40" s="280"/>
      <c r="P40" s="280"/>
      <c r="Q40" s="280"/>
      <c r="R40" s="279"/>
      <c r="S40" s="279"/>
      <c r="T40" s="279"/>
      <c r="U40" s="280"/>
      <c r="V40" s="280"/>
      <c r="W40" s="280"/>
      <c r="X40" s="280"/>
      <c r="Y40" s="280"/>
      <c r="Z40" s="280"/>
      <c r="AA40" s="280"/>
      <c r="AB40" s="280"/>
      <c r="AC40" s="280"/>
      <c r="AD40" s="280"/>
    </row>
    <row r="41" spans="1:34">
      <c r="A41" s="278">
        <v>37</v>
      </c>
      <c r="B41" s="276" t="s">
        <v>1325</v>
      </c>
      <c r="C41" s="277" t="s">
        <v>1438</v>
      </c>
      <c r="D41" s="277" t="s">
        <v>1439</v>
      </c>
      <c r="E41" s="277" t="s">
        <v>1440</v>
      </c>
      <c r="F41" s="277" t="s">
        <v>1441</v>
      </c>
      <c r="G41" s="277" t="s">
        <v>1442</v>
      </c>
      <c r="H41" s="277" t="s">
        <v>1443</v>
      </c>
      <c r="I41" s="277" t="s">
        <v>1444</v>
      </c>
      <c r="J41" s="277" t="s">
        <v>1445</v>
      </c>
      <c r="K41" s="277" t="s">
        <v>1446</v>
      </c>
      <c r="L41" s="277" t="s">
        <v>1447</v>
      </c>
      <c r="M41" s="277" t="s">
        <v>1448</v>
      </c>
      <c r="N41" s="277" t="s">
        <v>1449</v>
      </c>
      <c r="O41" s="277" t="s">
        <v>1450</v>
      </c>
      <c r="P41" s="277" t="s">
        <v>1451</v>
      </c>
      <c r="Q41" s="277" t="s">
        <v>1452</v>
      </c>
      <c r="R41" s="277" t="s">
        <v>1453</v>
      </c>
      <c r="S41" s="277" t="s">
        <v>1454</v>
      </c>
      <c r="T41" s="277" t="s">
        <v>1455</v>
      </c>
      <c r="U41" s="277" t="s">
        <v>1456</v>
      </c>
      <c r="V41" s="277" t="s">
        <v>1457</v>
      </c>
      <c r="W41" s="277" t="s">
        <v>1458</v>
      </c>
      <c r="X41" s="277" t="s">
        <v>1459</v>
      </c>
      <c r="Y41" s="277" t="s">
        <v>1460</v>
      </c>
      <c r="Z41" s="277" t="s">
        <v>1461</v>
      </c>
      <c r="AA41" s="277" t="s">
        <v>1462</v>
      </c>
      <c r="AB41" s="277" t="s">
        <v>1463</v>
      </c>
      <c r="AC41" s="277" t="s">
        <v>1513</v>
      </c>
      <c r="AD41" s="359"/>
      <c r="AE41" s="274" t="s">
        <v>1473</v>
      </c>
    </row>
    <row r="42" spans="1:34">
      <c r="A42" s="278">
        <v>38</v>
      </c>
      <c r="B42" s="279" t="s">
        <v>106</v>
      </c>
      <c r="C42" s="280">
        <f>C5*$AC$38/C$38</f>
        <v>23919701.094855301</v>
      </c>
      <c r="D42" s="280">
        <f t="shared" ref="D42:AC52" si="1">D5*$AC$38/D$38</f>
        <v>54855272.513428122</v>
      </c>
      <c r="E42" s="280">
        <f t="shared" si="1"/>
        <v>59467240.769817077</v>
      </c>
      <c r="F42" s="280">
        <f t="shared" si="1"/>
        <v>67262201.570579499</v>
      </c>
      <c r="G42" s="280">
        <f t="shared" si="1"/>
        <v>66017419.240915813</v>
      </c>
      <c r="H42" s="280">
        <f t="shared" si="1"/>
        <v>69930450.169411764</v>
      </c>
      <c r="I42" s="280">
        <f t="shared" si="1"/>
        <v>81565991.282798842</v>
      </c>
      <c r="J42" s="280">
        <f t="shared" si="1"/>
        <v>89389611.068519026</v>
      </c>
      <c r="K42" s="280">
        <f t="shared" si="1"/>
        <v>93422296.483355522</v>
      </c>
      <c r="L42" s="280">
        <f t="shared" si="1"/>
        <v>97369319.342833117</v>
      </c>
      <c r="M42" s="280">
        <f t="shared" si="1"/>
        <v>82722537.257650763</v>
      </c>
      <c r="N42" s="280">
        <f t="shared" si="1"/>
        <v>76761849.121488333</v>
      </c>
      <c r="O42" s="280">
        <f t="shared" si="1"/>
        <v>78337620.918951795</v>
      </c>
      <c r="P42" s="280">
        <f t="shared" si="1"/>
        <v>78783084.233503476</v>
      </c>
      <c r="Q42" s="280">
        <f t="shared" si="1"/>
        <v>77857980.017042086</v>
      </c>
      <c r="R42" s="280">
        <f t="shared" si="1"/>
        <v>74573121.708148152</v>
      </c>
      <c r="S42" s="280">
        <f t="shared" si="1"/>
        <v>76879688.815382138</v>
      </c>
      <c r="T42" s="280">
        <f t="shared" si="1"/>
        <v>70539716.909457207</v>
      </c>
      <c r="U42" s="280">
        <f t="shared" si="1"/>
        <v>66650793.889979824</v>
      </c>
      <c r="V42" s="280">
        <f t="shared" si="1"/>
        <v>65231849.231912345</v>
      </c>
      <c r="W42" s="280">
        <f t="shared" si="1"/>
        <v>61024576.408245616</v>
      </c>
      <c r="X42" s="280">
        <f t="shared" si="1"/>
        <v>58864006.437422089</v>
      </c>
      <c r="Y42" s="280">
        <f t="shared" si="1"/>
        <v>57668376.283622786</v>
      </c>
      <c r="Z42" s="280">
        <f t="shared" si="1"/>
        <v>58402651.659060784</v>
      </c>
      <c r="AA42" s="280">
        <f t="shared" si="1"/>
        <v>56977502.397576571</v>
      </c>
      <c r="AB42" s="280">
        <f t="shared" si="1"/>
        <v>58279714.856212653</v>
      </c>
      <c r="AC42" s="280">
        <f t="shared" si="1"/>
        <v>57758108.75</v>
      </c>
      <c r="AD42" s="280"/>
      <c r="AE42" s="280">
        <f>SUM(C42:AC42)</f>
        <v>1860512682.4321706</v>
      </c>
    </row>
    <row r="43" spans="1:34">
      <c r="A43" s="278">
        <v>39</v>
      </c>
      <c r="B43" s="279" t="s">
        <v>109</v>
      </c>
      <c r="C43" s="280">
        <f t="shared" ref="C43:R73" si="2">C6*$AC$38/C$38</f>
        <v>4213091.4662379418</v>
      </c>
      <c r="D43" s="280">
        <f t="shared" si="2"/>
        <v>26329196.336492892</v>
      </c>
      <c r="E43" s="280">
        <f t="shared" si="2"/>
        <v>28774163.6875</v>
      </c>
      <c r="F43" s="280">
        <f t="shared" si="2"/>
        <v>29850923.726597328</v>
      </c>
      <c r="G43" s="280">
        <f t="shared" si="2"/>
        <v>28947753.83491876</v>
      </c>
      <c r="H43" s="280">
        <f t="shared" si="2"/>
        <v>25851086.535676472</v>
      </c>
      <c r="I43" s="280">
        <f t="shared" si="2"/>
        <v>27503695.567055393</v>
      </c>
      <c r="J43" s="280">
        <f t="shared" si="2"/>
        <v>28594859.873610713</v>
      </c>
      <c r="K43" s="280">
        <f t="shared" si="2"/>
        <v>29210401.029294271</v>
      </c>
      <c r="L43" s="280">
        <f t="shared" si="2"/>
        <v>30157908.551423028</v>
      </c>
      <c r="M43" s="280">
        <f t="shared" si="2"/>
        <v>24736039.241520103</v>
      </c>
      <c r="N43" s="280">
        <f t="shared" si="2"/>
        <v>22345061.732004918</v>
      </c>
      <c r="O43" s="280">
        <f t="shared" si="2"/>
        <v>20901784.75940964</v>
      </c>
      <c r="P43" s="280">
        <f t="shared" si="2"/>
        <v>21433008.015556846</v>
      </c>
      <c r="Q43" s="280">
        <f t="shared" si="2"/>
        <v>21815041.803731509</v>
      </c>
      <c r="R43" s="280">
        <f t="shared" si="2"/>
        <v>22837239.76889978</v>
      </c>
      <c r="S43" s="280">
        <f t="shared" si="1"/>
        <v>23695264.822271258</v>
      </c>
      <c r="T43" s="280">
        <f t="shared" si="1"/>
        <v>20943949.483705636</v>
      </c>
      <c r="U43" s="280">
        <f t="shared" si="1"/>
        <v>20743223.059536289</v>
      </c>
      <c r="V43" s="280">
        <f t="shared" si="1"/>
        <v>20467589.580049802</v>
      </c>
      <c r="W43" s="280">
        <f t="shared" si="1"/>
        <v>17473501.093674466</v>
      </c>
      <c r="X43" s="280">
        <f t="shared" si="1"/>
        <v>16891704.689565629</v>
      </c>
      <c r="Y43" s="280">
        <f t="shared" si="1"/>
        <v>16728667.276834734</v>
      </c>
      <c r="Z43" s="280">
        <f t="shared" si="1"/>
        <v>14204252.677513815</v>
      </c>
      <c r="AA43" s="280">
        <f t="shared" si="1"/>
        <v>15014882.551018016</v>
      </c>
      <c r="AB43" s="280">
        <f t="shared" si="1"/>
        <v>15311100.37456942</v>
      </c>
      <c r="AC43" s="280">
        <f t="shared" si="1"/>
        <v>13807869.640000001</v>
      </c>
      <c r="AD43" s="280"/>
      <c r="AE43" s="280">
        <f t="shared" ref="AE43:AE73" si="3">SUM(C43:AC43)</f>
        <v>588783261.17866874</v>
      </c>
    </row>
    <row r="44" spans="1:34">
      <c r="A44" s="278">
        <v>40</v>
      </c>
      <c r="B44" s="281" t="s">
        <v>111</v>
      </c>
      <c r="C44" s="280">
        <f t="shared" si="2"/>
        <v>2871151.3295819932</v>
      </c>
      <c r="D44" s="280">
        <f t="shared" si="1"/>
        <v>6871593.0932069514</v>
      </c>
      <c r="E44" s="280">
        <f t="shared" si="1"/>
        <v>16460940.760670731</v>
      </c>
      <c r="F44" s="280">
        <f t="shared" si="1"/>
        <v>22722682.004457653</v>
      </c>
      <c r="G44" s="280">
        <f t="shared" si="1"/>
        <v>23971218.272511072</v>
      </c>
      <c r="H44" s="280">
        <f t="shared" si="1"/>
        <v>24131551.996588238</v>
      </c>
      <c r="I44" s="280">
        <f t="shared" si="1"/>
        <v>27012307.190962102</v>
      </c>
      <c r="J44" s="280">
        <f t="shared" si="1"/>
        <v>29577129.788377997</v>
      </c>
      <c r="K44" s="280">
        <f t="shared" si="1"/>
        <v>30998810.601864181</v>
      </c>
      <c r="L44" s="280">
        <f t="shared" si="1"/>
        <v>32871972.455756791</v>
      </c>
      <c r="M44" s="280">
        <f t="shared" si="1"/>
        <v>27044105.581507541</v>
      </c>
      <c r="N44" s="280">
        <f t="shared" si="1"/>
        <v>24301944.575522754</v>
      </c>
      <c r="O44" s="280">
        <f t="shared" si="1"/>
        <v>25134672.964168672</v>
      </c>
      <c r="P44" s="280">
        <f t="shared" si="1"/>
        <v>24712040.836310904</v>
      </c>
      <c r="Q44" s="280">
        <f t="shared" si="1"/>
        <v>24631187.019624572</v>
      </c>
      <c r="R44" s="280">
        <f t="shared" si="1"/>
        <v>23383376.031601306</v>
      </c>
      <c r="S44" s="280">
        <f t="shared" si="1"/>
        <v>23856524.919601716</v>
      </c>
      <c r="T44" s="280">
        <f t="shared" si="1"/>
        <v>22526700.090041753</v>
      </c>
      <c r="U44" s="280">
        <f t="shared" si="1"/>
        <v>23153835.844495963</v>
      </c>
      <c r="V44" s="280">
        <f t="shared" si="1"/>
        <v>22775539.333874505</v>
      </c>
      <c r="W44" s="280">
        <f t="shared" si="1"/>
        <v>21127417.071637426</v>
      </c>
      <c r="X44" s="280">
        <f t="shared" si="1"/>
        <v>20771579.514466476</v>
      </c>
      <c r="Y44" s="280">
        <f t="shared" si="1"/>
        <v>22170237.487002805</v>
      </c>
      <c r="Z44" s="280">
        <f t="shared" si="1"/>
        <v>20862704.562495403</v>
      </c>
      <c r="AA44" s="280">
        <f t="shared" si="1"/>
        <v>19731323.100450456</v>
      </c>
      <c r="AB44" s="280">
        <f t="shared" si="1"/>
        <v>20236452.556739893</v>
      </c>
      <c r="AC44" s="280">
        <f t="shared" si="1"/>
        <v>20450974.239999998</v>
      </c>
      <c r="AD44" s="280"/>
      <c r="AE44" s="280">
        <f t="shared" si="3"/>
        <v>604359973.22351992</v>
      </c>
    </row>
    <row r="45" spans="1:34">
      <c r="A45" s="278">
        <v>41</v>
      </c>
      <c r="B45" s="279" t="s">
        <v>112</v>
      </c>
      <c r="C45" s="280">
        <f t="shared" si="2"/>
        <v>14902806.207395498</v>
      </c>
      <c r="D45" s="280">
        <f t="shared" si="1"/>
        <v>43957709.796208531</v>
      </c>
      <c r="E45" s="280">
        <f t="shared" si="1"/>
        <v>58944155.74085366</v>
      </c>
      <c r="F45" s="280">
        <f t="shared" si="1"/>
        <v>72789303.854383349</v>
      </c>
      <c r="G45" s="280">
        <f t="shared" si="1"/>
        <v>85831169.524446085</v>
      </c>
      <c r="H45" s="280">
        <f t="shared" si="1"/>
        <v>101859988.19926471</v>
      </c>
      <c r="I45" s="280">
        <f t="shared" si="1"/>
        <v>124864184.1632653</v>
      </c>
      <c r="J45" s="280">
        <f t="shared" si="1"/>
        <v>138207756.17511988</v>
      </c>
      <c r="K45" s="280">
        <f t="shared" si="1"/>
        <v>148833447.73102531</v>
      </c>
      <c r="L45" s="280">
        <f t="shared" si="1"/>
        <v>162947296.02381629</v>
      </c>
      <c r="M45" s="280">
        <f t="shared" si="1"/>
        <v>148983739.02237439</v>
      </c>
      <c r="N45" s="280">
        <f t="shared" si="1"/>
        <v>145518916.36319801</v>
      </c>
      <c r="O45" s="280">
        <f t="shared" si="1"/>
        <v>150503335.86332533</v>
      </c>
      <c r="P45" s="280">
        <f t="shared" si="1"/>
        <v>151971758.80962878</v>
      </c>
      <c r="Q45" s="280">
        <f t="shared" si="1"/>
        <v>155725173.73444822</v>
      </c>
      <c r="R45" s="280">
        <f t="shared" si="1"/>
        <v>157835492.05242917</v>
      </c>
      <c r="S45" s="280">
        <f t="shared" si="1"/>
        <v>166410328.35425189</v>
      </c>
      <c r="T45" s="280">
        <f t="shared" si="1"/>
        <v>159615516.59989563</v>
      </c>
      <c r="U45" s="280">
        <f t="shared" si="1"/>
        <v>159196891.5287903</v>
      </c>
      <c r="V45" s="280">
        <f t="shared" si="1"/>
        <v>164329112.2942231</v>
      </c>
      <c r="W45" s="280">
        <f t="shared" si="1"/>
        <v>151991441.06655946</v>
      </c>
      <c r="X45" s="280">
        <f t="shared" si="1"/>
        <v>148223645.05521247</v>
      </c>
      <c r="Y45" s="280">
        <f t="shared" si="1"/>
        <v>149806959.78563026</v>
      </c>
      <c r="Z45" s="280">
        <f t="shared" si="1"/>
        <v>149236489.28438306</v>
      </c>
      <c r="AA45" s="280">
        <f t="shared" si="1"/>
        <v>136921183.96941441</v>
      </c>
      <c r="AB45" s="280">
        <f t="shared" si="1"/>
        <v>138894276.00610721</v>
      </c>
      <c r="AC45" s="280">
        <f t="shared" si="1"/>
        <v>142904247.84</v>
      </c>
      <c r="AD45" s="280"/>
      <c r="AE45" s="280">
        <f t="shared" si="3"/>
        <v>3531206325.045651</v>
      </c>
    </row>
    <row r="46" spans="1:34">
      <c r="A46" s="278">
        <v>42</v>
      </c>
      <c r="B46" s="279" t="s">
        <v>115</v>
      </c>
      <c r="C46" s="280">
        <f t="shared" si="2"/>
        <v>0</v>
      </c>
      <c r="D46" s="280">
        <f t="shared" si="1"/>
        <v>1288729.3285939968</v>
      </c>
      <c r="E46" s="280">
        <f t="shared" si="1"/>
        <v>3947957.4984756103</v>
      </c>
      <c r="F46" s="280">
        <f t="shared" si="1"/>
        <v>7100842.6508172359</v>
      </c>
      <c r="G46" s="280">
        <f t="shared" si="1"/>
        <v>10430596.266632199</v>
      </c>
      <c r="H46" s="280">
        <f t="shared" si="1"/>
        <v>12422836.516264707</v>
      </c>
      <c r="I46" s="280">
        <f t="shared" si="1"/>
        <v>14404914.103498543</v>
      </c>
      <c r="J46" s="280">
        <f t="shared" si="1"/>
        <v>16603463.964456979</v>
      </c>
      <c r="K46" s="280">
        <f t="shared" si="1"/>
        <v>19230983.797603197</v>
      </c>
      <c r="L46" s="280">
        <f t="shared" si="1"/>
        <v>19569190.173492886</v>
      </c>
      <c r="M46" s="280">
        <f t="shared" si="1"/>
        <v>19148651.591896985</v>
      </c>
      <c r="N46" s="280">
        <f t="shared" si="1"/>
        <v>19347100.167945877</v>
      </c>
      <c r="O46" s="280">
        <f t="shared" si="1"/>
        <v>20824479.104662649</v>
      </c>
      <c r="P46" s="280">
        <f t="shared" si="1"/>
        <v>22117753.166241296</v>
      </c>
      <c r="Q46" s="280">
        <f t="shared" si="1"/>
        <v>21858894.987645052</v>
      </c>
      <c r="R46" s="280">
        <f t="shared" si="1"/>
        <v>21587403.98198257</v>
      </c>
      <c r="S46" s="280">
        <f t="shared" si="1"/>
        <v>22658052.984015066</v>
      </c>
      <c r="T46" s="280">
        <f t="shared" si="1"/>
        <v>22960560.241283927</v>
      </c>
      <c r="U46" s="280">
        <f t="shared" si="1"/>
        <v>23721007.124153227</v>
      </c>
      <c r="V46" s="280">
        <f t="shared" si="1"/>
        <v>24685808.694501985</v>
      </c>
      <c r="W46" s="280">
        <f t="shared" si="1"/>
        <v>22743543.665419105</v>
      </c>
      <c r="X46" s="280">
        <f t="shared" si="1"/>
        <v>22700508.86902738</v>
      </c>
      <c r="Y46" s="280">
        <f t="shared" si="1"/>
        <v>24605712.11363212</v>
      </c>
      <c r="Z46" s="280">
        <f t="shared" si="1"/>
        <v>26124735.335036825</v>
      </c>
      <c r="AA46" s="280">
        <f t="shared" si="1"/>
        <v>27605722.166495495</v>
      </c>
      <c r="AB46" s="280">
        <f t="shared" si="1"/>
        <v>28919276.948585238</v>
      </c>
      <c r="AC46" s="280">
        <f t="shared" si="1"/>
        <v>28545146.739999995</v>
      </c>
      <c r="AD46" s="280"/>
      <c r="AE46" s="280">
        <f t="shared" si="3"/>
        <v>505153872.18236017</v>
      </c>
    </row>
    <row r="47" spans="1:34">
      <c r="A47" s="278">
        <v>43</v>
      </c>
      <c r="B47" s="281" t="s">
        <v>116</v>
      </c>
      <c r="C47" s="280">
        <f t="shared" si="2"/>
        <v>9106316.2749196123</v>
      </c>
      <c r="D47" s="280">
        <f t="shared" si="1"/>
        <v>36948585.180094793</v>
      </c>
      <c r="E47" s="280">
        <f t="shared" si="1"/>
        <v>52107367.762195125</v>
      </c>
      <c r="F47" s="280">
        <f t="shared" si="1"/>
        <v>66926996.870728083</v>
      </c>
      <c r="G47" s="280">
        <f t="shared" si="1"/>
        <v>81714193.700295419</v>
      </c>
      <c r="H47" s="280">
        <f t="shared" si="1"/>
        <v>100444219.22441177</v>
      </c>
      <c r="I47" s="280">
        <f t="shared" si="1"/>
        <v>117669008.20553936</v>
      </c>
      <c r="J47" s="280">
        <f t="shared" si="1"/>
        <v>126607459.8488152</v>
      </c>
      <c r="K47" s="280">
        <f t="shared" si="1"/>
        <v>122779227.15046605</v>
      </c>
      <c r="L47" s="280">
        <f t="shared" si="1"/>
        <v>143200166.93980595</v>
      </c>
      <c r="M47" s="280">
        <f t="shared" si="1"/>
        <v>140046505.38212314</v>
      </c>
      <c r="N47" s="280">
        <f t="shared" si="1"/>
        <v>138035038.56377614</v>
      </c>
      <c r="O47" s="280">
        <f t="shared" si="1"/>
        <v>141792801.34057832</v>
      </c>
      <c r="P47" s="280">
        <f t="shared" si="1"/>
        <v>141006618.74705335</v>
      </c>
      <c r="Q47" s="280">
        <f t="shared" si="1"/>
        <v>143094571.53215015</v>
      </c>
      <c r="R47" s="280">
        <f t="shared" si="1"/>
        <v>144748964.47215688</v>
      </c>
      <c r="S47" s="280">
        <f t="shared" si="1"/>
        <v>150398292.01835304</v>
      </c>
      <c r="T47" s="280">
        <f t="shared" si="1"/>
        <v>141011958.08670145</v>
      </c>
      <c r="U47" s="280">
        <f t="shared" si="1"/>
        <v>141655974.84943548</v>
      </c>
      <c r="V47" s="280">
        <f t="shared" si="1"/>
        <v>142003434.43591633</v>
      </c>
      <c r="W47" s="280">
        <f t="shared" si="1"/>
        <v>126425139.08090644</v>
      </c>
      <c r="X47" s="280">
        <f t="shared" si="1"/>
        <v>121156331.23446646</v>
      </c>
      <c r="Y47" s="280">
        <f t="shared" si="1"/>
        <v>126295625.01378152</v>
      </c>
      <c r="Z47" s="280">
        <f t="shared" si="1"/>
        <v>130219849.89400552</v>
      </c>
      <c r="AA47" s="280">
        <f t="shared" si="1"/>
        <v>129727368.92916216</v>
      </c>
      <c r="AB47" s="280">
        <f t="shared" si="1"/>
        <v>130936344.34720561</v>
      </c>
      <c r="AC47" s="280">
        <f t="shared" si="1"/>
        <v>132360621.96000001</v>
      </c>
      <c r="AD47" s="280"/>
      <c r="AE47" s="280">
        <f t="shared" si="3"/>
        <v>3178418981.0450435</v>
      </c>
    </row>
    <row r="48" spans="1:34">
      <c r="A48" s="278">
        <v>44</v>
      </c>
      <c r="B48" s="279" t="s">
        <v>120</v>
      </c>
      <c r="C48" s="280">
        <f t="shared" si="2"/>
        <v>19203244.323151123</v>
      </c>
      <c r="D48" s="280">
        <f t="shared" si="1"/>
        <v>49682375.759873621</v>
      </c>
      <c r="E48" s="280">
        <f t="shared" si="1"/>
        <v>58443345.560975611</v>
      </c>
      <c r="F48" s="280">
        <f t="shared" si="1"/>
        <v>76627529.065378889</v>
      </c>
      <c r="G48" s="280">
        <f t="shared" si="1"/>
        <v>97654067.702289507</v>
      </c>
      <c r="H48" s="280">
        <f t="shared" si="1"/>
        <v>113683078.56335294</v>
      </c>
      <c r="I48" s="280">
        <f t="shared" si="1"/>
        <v>129858877.58017494</v>
      </c>
      <c r="J48" s="280">
        <f t="shared" si="1"/>
        <v>135042323.29414666</v>
      </c>
      <c r="K48" s="280">
        <f t="shared" si="1"/>
        <v>135279287.26364848</v>
      </c>
      <c r="L48" s="280">
        <f t="shared" si="1"/>
        <v>139915527.21087968</v>
      </c>
      <c r="M48" s="280">
        <f t="shared" si="1"/>
        <v>121272028.81943469</v>
      </c>
      <c r="N48" s="280">
        <f t="shared" si="1"/>
        <v>115688463.3221525</v>
      </c>
      <c r="O48" s="280">
        <f t="shared" si="1"/>
        <v>118885311.5506988</v>
      </c>
      <c r="P48" s="280">
        <f t="shared" si="1"/>
        <v>117729115.03020886</v>
      </c>
      <c r="Q48" s="280">
        <f t="shared" si="1"/>
        <v>115252843.00202502</v>
      </c>
      <c r="R48" s="280">
        <f t="shared" si="1"/>
        <v>109747120.81510895</v>
      </c>
      <c r="S48" s="280">
        <f t="shared" si="1"/>
        <v>113471534.12669538</v>
      </c>
      <c r="T48" s="280">
        <f t="shared" si="1"/>
        <v>103359805.24779747</v>
      </c>
      <c r="U48" s="280">
        <f t="shared" si="1"/>
        <v>101683302.74470767</v>
      </c>
      <c r="V48" s="280">
        <f t="shared" si="1"/>
        <v>100735123.83361554</v>
      </c>
      <c r="W48" s="280">
        <f t="shared" si="1"/>
        <v>90977913.572719306</v>
      </c>
      <c r="X48" s="280">
        <f t="shared" si="1"/>
        <v>88114883.381444767</v>
      </c>
      <c r="Y48" s="280">
        <f t="shared" si="1"/>
        <v>88711886.909719899</v>
      </c>
      <c r="Z48" s="280">
        <f t="shared" si="1"/>
        <v>87973674.919116035</v>
      </c>
      <c r="AA48" s="280">
        <f t="shared" si="1"/>
        <v>82792964.272135124</v>
      </c>
      <c r="AB48" s="280">
        <f t="shared" si="1"/>
        <v>81768757.051054478</v>
      </c>
      <c r="AC48" s="280">
        <f t="shared" si="1"/>
        <v>81576110.090000004</v>
      </c>
      <c r="AD48" s="280"/>
      <c r="AE48" s="280">
        <f t="shared" si="3"/>
        <v>2675130495.0125065</v>
      </c>
    </row>
    <row r="49" spans="1:31">
      <c r="A49" s="278">
        <v>45</v>
      </c>
      <c r="B49" s="279" t="s">
        <v>122</v>
      </c>
      <c r="C49" s="280">
        <f t="shared" si="2"/>
        <v>21209565.094855301</v>
      </c>
      <c r="D49" s="280">
        <f t="shared" si="1"/>
        <v>41651090.04581359</v>
      </c>
      <c r="E49" s="280">
        <f t="shared" si="1"/>
        <v>52385859.507621951</v>
      </c>
      <c r="F49" s="280">
        <f t="shared" si="1"/>
        <v>57925712.54531946</v>
      </c>
      <c r="G49" s="280">
        <f t="shared" si="1"/>
        <v>62602353.903397344</v>
      </c>
      <c r="H49" s="280">
        <f t="shared" si="1"/>
        <v>69008923.453088239</v>
      </c>
      <c r="I49" s="280">
        <f t="shared" si="1"/>
        <v>79898870.969387755</v>
      </c>
      <c r="J49" s="280">
        <f t="shared" si="1"/>
        <v>88410500.785528913</v>
      </c>
      <c r="K49" s="280">
        <f t="shared" si="1"/>
        <v>93297342.122503325</v>
      </c>
      <c r="L49" s="280">
        <f t="shared" si="1"/>
        <v>99209673.331203103</v>
      </c>
      <c r="M49" s="280">
        <f t="shared" si="1"/>
        <v>91162132.958329156</v>
      </c>
      <c r="N49" s="280">
        <f t="shared" si="1"/>
        <v>85127957.773271829</v>
      </c>
      <c r="O49" s="280">
        <f t="shared" si="1"/>
        <v>85731456.595903605</v>
      </c>
      <c r="P49" s="280">
        <f t="shared" si="1"/>
        <v>84447813.549025521</v>
      </c>
      <c r="Q49" s="280">
        <f t="shared" si="1"/>
        <v>88214408.98419793</v>
      </c>
      <c r="R49" s="280">
        <f t="shared" si="1"/>
        <v>88165397.532211319</v>
      </c>
      <c r="S49" s="280">
        <f t="shared" si="1"/>
        <v>90076110.278331533</v>
      </c>
      <c r="T49" s="280">
        <f t="shared" si="1"/>
        <v>81518348.796993747</v>
      </c>
      <c r="U49" s="280">
        <f t="shared" si="1"/>
        <v>79893157.452802405</v>
      </c>
      <c r="V49" s="280">
        <f t="shared" si="1"/>
        <v>80445370.21568723</v>
      </c>
      <c r="W49" s="280">
        <f t="shared" si="1"/>
        <v>68714657.949580893</v>
      </c>
      <c r="X49" s="280">
        <f t="shared" si="1"/>
        <v>64459389.878300272</v>
      </c>
      <c r="Y49" s="280">
        <f t="shared" si="1"/>
        <v>65658658.916498609</v>
      </c>
      <c r="Z49" s="280">
        <f t="shared" si="1"/>
        <v>65622906.528747693</v>
      </c>
      <c r="AA49" s="280">
        <f t="shared" si="1"/>
        <v>63701239.422630638</v>
      </c>
      <c r="AB49" s="280">
        <f t="shared" si="1"/>
        <v>64338362.175922677</v>
      </c>
      <c r="AC49" s="280">
        <f t="shared" si="1"/>
        <v>62253454.899999991</v>
      </c>
      <c r="AD49" s="280"/>
      <c r="AE49" s="280">
        <f t="shared" si="3"/>
        <v>1975130715.6671541</v>
      </c>
    </row>
    <row r="50" spans="1:31">
      <c r="A50" s="278">
        <v>46</v>
      </c>
      <c r="B50" s="279" t="s">
        <v>124</v>
      </c>
      <c r="C50" s="280">
        <f t="shared" si="2"/>
        <v>16705123.225080386</v>
      </c>
      <c r="D50" s="280">
        <f t="shared" si="1"/>
        <v>40255788.911532387</v>
      </c>
      <c r="E50" s="280">
        <f t="shared" si="1"/>
        <v>56181131.439024396</v>
      </c>
      <c r="F50" s="280">
        <f t="shared" si="1"/>
        <v>65397938.45468054</v>
      </c>
      <c r="G50" s="280">
        <f t="shared" si="1"/>
        <v>82404816.193279162</v>
      </c>
      <c r="H50" s="280">
        <f t="shared" si="1"/>
        <v>100950766.1295294</v>
      </c>
      <c r="I50" s="280">
        <f t="shared" si="1"/>
        <v>116376497.99125364</v>
      </c>
      <c r="J50" s="280">
        <f t="shared" si="1"/>
        <v>125300768.82344146</v>
      </c>
      <c r="K50" s="280">
        <f t="shared" si="1"/>
        <v>119319748.18375501</v>
      </c>
      <c r="L50" s="280">
        <f t="shared" si="1"/>
        <v>120055404.3739845</v>
      </c>
      <c r="M50" s="280">
        <f t="shared" si="1"/>
        <v>103087959.6100377</v>
      </c>
      <c r="N50" s="280">
        <f t="shared" si="1"/>
        <v>94981057.600405902</v>
      </c>
      <c r="O50" s="280">
        <f t="shared" si="1"/>
        <v>94612117.402530119</v>
      </c>
      <c r="P50" s="280">
        <f t="shared" si="1"/>
        <v>93347500.184593961</v>
      </c>
      <c r="Q50" s="280">
        <f t="shared" si="1"/>
        <v>93585284.323879391</v>
      </c>
      <c r="R50" s="280">
        <f t="shared" si="1"/>
        <v>95010609.728605673</v>
      </c>
      <c r="S50" s="280">
        <f t="shared" si="1"/>
        <v>94708510.433046296</v>
      </c>
      <c r="T50" s="280">
        <f t="shared" si="1"/>
        <v>89030244.870866388</v>
      </c>
      <c r="U50" s="280">
        <f t="shared" si="1"/>
        <v>86542901.593145162</v>
      </c>
      <c r="V50" s="280">
        <f t="shared" si="1"/>
        <v>83894391.973844618</v>
      </c>
      <c r="W50" s="280">
        <f t="shared" si="1"/>
        <v>78498671.553918123</v>
      </c>
      <c r="X50" s="280">
        <f t="shared" si="1"/>
        <v>77094431.006864965</v>
      </c>
      <c r="Y50" s="280">
        <f t="shared" si="1"/>
        <v>77814060.111764714</v>
      </c>
      <c r="Z50" s="280">
        <f t="shared" si="1"/>
        <v>79512763.505736649</v>
      </c>
      <c r="AA50" s="280">
        <f t="shared" si="1"/>
        <v>77839978.626369372</v>
      </c>
      <c r="AB50" s="280">
        <f t="shared" si="1"/>
        <v>76832400.20316346</v>
      </c>
      <c r="AC50" s="280">
        <f t="shared" si="1"/>
        <v>74244676.719999999</v>
      </c>
      <c r="AD50" s="280"/>
      <c r="AE50" s="280">
        <f t="shared" si="3"/>
        <v>2313585543.1743331</v>
      </c>
    </row>
    <row r="51" spans="1:31">
      <c r="A51" s="278">
        <v>47</v>
      </c>
      <c r="B51" s="279" t="s">
        <v>128</v>
      </c>
      <c r="C51" s="280">
        <f t="shared" si="2"/>
        <v>24830746.03054662</v>
      </c>
      <c r="D51" s="280">
        <f t="shared" si="1"/>
        <v>64257652.897314377</v>
      </c>
      <c r="E51" s="280">
        <f t="shared" si="1"/>
        <v>83123574.371951222</v>
      </c>
      <c r="F51" s="280">
        <f t="shared" si="1"/>
        <v>102910358.01337296</v>
      </c>
      <c r="G51" s="280">
        <f t="shared" si="1"/>
        <v>109889316.04209749</v>
      </c>
      <c r="H51" s="280">
        <f t="shared" si="1"/>
        <v>127302670.35588233</v>
      </c>
      <c r="I51" s="280">
        <f t="shared" si="1"/>
        <v>141361592.36443147</v>
      </c>
      <c r="J51" s="280">
        <f t="shared" si="1"/>
        <v>148820248.99228489</v>
      </c>
      <c r="K51" s="280">
        <f t="shared" si="1"/>
        <v>154000629.25565913</v>
      </c>
      <c r="L51" s="280">
        <f t="shared" si="1"/>
        <v>161929367.65179819</v>
      </c>
      <c r="M51" s="280">
        <f t="shared" si="1"/>
        <v>139764407.21326634</v>
      </c>
      <c r="N51" s="280">
        <f t="shared" si="1"/>
        <v>134545860.41805658</v>
      </c>
      <c r="O51" s="280">
        <f t="shared" si="1"/>
        <v>140807918.88104817</v>
      </c>
      <c r="P51" s="280">
        <f t="shared" si="1"/>
        <v>139211139.71457076</v>
      </c>
      <c r="Q51" s="280">
        <f t="shared" si="1"/>
        <v>141840026.3212173</v>
      </c>
      <c r="R51" s="280">
        <f t="shared" si="1"/>
        <v>143251134.75720045</v>
      </c>
      <c r="S51" s="280">
        <f t="shared" si="1"/>
        <v>147718869.9287298</v>
      </c>
      <c r="T51" s="280">
        <f t="shared" si="1"/>
        <v>135894900.51649272</v>
      </c>
      <c r="U51" s="280">
        <f t="shared" si="1"/>
        <v>133929824.72153223</v>
      </c>
      <c r="V51" s="280">
        <f t="shared" si="1"/>
        <v>132661413.79515934</v>
      </c>
      <c r="W51" s="280">
        <f t="shared" si="1"/>
        <v>120697643.54077974</v>
      </c>
      <c r="X51" s="280">
        <f t="shared" si="1"/>
        <v>117830547.75932953</v>
      </c>
      <c r="Y51" s="280">
        <f t="shared" si="1"/>
        <v>123778155.45220356</v>
      </c>
      <c r="Z51" s="280">
        <f t="shared" si="1"/>
        <v>123979671.75040515</v>
      </c>
      <c r="AA51" s="280">
        <f t="shared" si="1"/>
        <v>120639076.93963063</v>
      </c>
      <c r="AB51" s="280">
        <f t="shared" si="1"/>
        <v>120886592.67112477</v>
      </c>
      <c r="AC51" s="280">
        <f t="shared" si="1"/>
        <v>119311877.92999999</v>
      </c>
      <c r="AD51" s="280"/>
      <c r="AE51" s="280">
        <f t="shared" si="3"/>
        <v>3355175218.2860856</v>
      </c>
    </row>
    <row r="52" spans="1:31">
      <c r="A52" s="278">
        <v>48</v>
      </c>
      <c r="B52" s="279" t="s">
        <v>133</v>
      </c>
      <c r="C52" s="280">
        <f t="shared" si="2"/>
        <v>9690079.0418006424</v>
      </c>
      <c r="D52" s="280">
        <f t="shared" si="1"/>
        <v>22872714.03791469</v>
      </c>
      <c r="E52" s="280">
        <f t="shared" si="1"/>
        <v>24241106.681402441</v>
      </c>
      <c r="F52" s="280">
        <f t="shared" si="1"/>
        <v>32260767.588410102</v>
      </c>
      <c r="G52" s="280">
        <f t="shared" si="1"/>
        <v>40069209.068537667</v>
      </c>
      <c r="H52" s="280">
        <f t="shared" si="1"/>
        <v>47434785.487941183</v>
      </c>
      <c r="I52" s="280">
        <f t="shared" si="1"/>
        <v>57778276.413994171</v>
      </c>
      <c r="J52" s="280">
        <f t="shared" si="1"/>
        <v>65380907.268547229</v>
      </c>
      <c r="K52" s="280">
        <f t="shared" si="1"/>
        <v>69237601.335552603</v>
      </c>
      <c r="L52" s="280">
        <f t="shared" si="1"/>
        <v>71424734.270530403</v>
      </c>
      <c r="M52" s="280">
        <f t="shared" si="1"/>
        <v>62026993.520816587</v>
      </c>
      <c r="N52" s="280">
        <f t="shared" ref="D52:AC62" si="4">N15*$AC$38/N$38</f>
        <v>60002339.171845026</v>
      </c>
      <c r="O52" s="280">
        <f t="shared" si="4"/>
        <v>61325690.418048196</v>
      </c>
      <c r="P52" s="280">
        <f t="shared" si="4"/>
        <v>63054087.524106719</v>
      </c>
      <c r="Q52" s="280">
        <f t="shared" si="4"/>
        <v>63725647.643686004</v>
      </c>
      <c r="R52" s="280">
        <f t="shared" si="4"/>
        <v>63328030.07343138</v>
      </c>
      <c r="S52" s="280">
        <f t="shared" si="4"/>
        <v>66048336.457771793</v>
      </c>
      <c r="T52" s="280">
        <f t="shared" si="4"/>
        <v>58940625.069050103</v>
      </c>
      <c r="U52" s="280">
        <f t="shared" si="4"/>
        <v>58665542.572046369</v>
      </c>
      <c r="V52" s="280">
        <f t="shared" si="4"/>
        <v>59394916.36906375</v>
      </c>
      <c r="W52" s="280">
        <f t="shared" si="4"/>
        <v>52852477.332153998</v>
      </c>
      <c r="X52" s="280">
        <f t="shared" si="4"/>
        <v>50494516.051246449</v>
      </c>
      <c r="Y52" s="280">
        <f t="shared" si="4"/>
        <v>49118863.268608779</v>
      </c>
      <c r="Z52" s="280">
        <f t="shared" si="4"/>
        <v>48856305.046270721</v>
      </c>
      <c r="AA52" s="280">
        <f t="shared" si="4"/>
        <v>47880497.168513514</v>
      </c>
      <c r="AB52" s="280">
        <f t="shared" si="4"/>
        <v>47228946.131098412</v>
      </c>
      <c r="AC52" s="280">
        <f t="shared" si="4"/>
        <v>47042973.649999999</v>
      </c>
      <c r="AD52" s="280"/>
      <c r="AE52" s="280">
        <f t="shared" si="3"/>
        <v>1400376968.662389</v>
      </c>
    </row>
    <row r="53" spans="1:31">
      <c r="A53" s="278">
        <v>49</v>
      </c>
      <c r="B53" s="279" t="s">
        <v>135</v>
      </c>
      <c r="C53" s="280">
        <f t="shared" si="2"/>
        <v>3872439.1688102889</v>
      </c>
      <c r="D53" s="280">
        <f t="shared" si="4"/>
        <v>17039387.467614535</v>
      </c>
      <c r="E53" s="280">
        <f t="shared" si="4"/>
        <v>36579599.307926834</v>
      </c>
      <c r="F53" s="280">
        <f t="shared" si="4"/>
        <v>52341105.040118873</v>
      </c>
      <c r="G53" s="280">
        <f t="shared" si="4"/>
        <v>64681728.469645485</v>
      </c>
      <c r="H53" s="280">
        <f t="shared" si="4"/>
        <v>79340418.534073532</v>
      </c>
      <c r="I53" s="280">
        <f t="shared" si="4"/>
        <v>95569458.381924212</v>
      </c>
      <c r="J53" s="280">
        <f t="shared" si="4"/>
        <v>106358281.93830746</v>
      </c>
      <c r="K53" s="280">
        <f t="shared" si="4"/>
        <v>114718182.58721705</v>
      </c>
      <c r="L53" s="280">
        <f t="shared" si="4"/>
        <v>125376648.87611903</v>
      </c>
      <c r="M53" s="280">
        <f t="shared" si="4"/>
        <v>110198921.28247489</v>
      </c>
      <c r="N53" s="280">
        <f t="shared" si="4"/>
        <v>107682674.36842559</v>
      </c>
      <c r="O53" s="280">
        <f t="shared" si="4"/>
        <v>118698078.7550482</v>
      </c>
      <c r="P53" s="280">
        <f t="shared" si="4"/>
        <v>124358843.02686773</v>
      </c>
      <c r="Q53" s="280">
        <f t="shared" si="4"/>
        <v>126450975.33615471</v>
      </c>
      <c r="R53" s="280">
        <f t="shared" si="4"/>
        <v>125405877.03003269</v>
      </c>
      <c r="S53" s="280">
        <f t="shared" si="4"/>
        <v>127730526.96809474</v>
      </c>
      <c r="T53" s="280">
        <f t="shared" si="4"/>
        <v>119775168.432119</v>
      </c>
      <c r="U53" s="280">
        <f t="shared" si="4"/>
        <v>117319005.10266127</v>
      </c>
      <c r="V53" s="280">
        <f t="shared" si="4"/>
        <v>117355253.49520913</v>
      </c>
      <c r="W53" s="280">
        <f t="shared" si="4"/>
        <v>109059611.90441521</v>
      </c>
      <c r="X53" s="280">
        <f t="shared" si="4"/>
        <v>108937337.68785645</v>
      </c>
      <c r="Y53" s="280">
        <f t="shared" si="4"/>
        <v>111019174.67913164</v>
      </c>
      <c r="Z53" s="280">
        <f t="shared" si="4"/>
        <v>110633125.64363721</v>
      </c>
      <c r="AA53" s="280">
        <f t="shared" si="4"/>
        <v>107957965.80433333</v>
      </c>
      <c r="AB53" s="280">
        <f t="shared" si="4"/>
        <v>109142153.60668717</v>
      </c>
      <c r="AC53" s="280">
        <f t="shared" si="4"/>
        <v>111695894.07999998</v>
      </c>
      <c r="AD53" s="280"/>
      <c r="AE53" s="280">
        <f t="shared" si="3"/>
        <v>2659297836.974906</v>
      </c>
    </row>
    <row r="54" spans="1:31">
      <c r="A54" s="278">
        <v>50</v>
      </c>
      <c r="B54" s="279" t="s">
        <v>137</v>
      </c>
      <c r="C54" s="280">
        <f t="shared" si="2"/>
        <v>21993428.048231509</v>
      </c>
      <c r="D54" s="280">
        <f t="shared" si="4"/>
        <v>38649705.030015804</v>
      </c>
      <c r="E54" s="280">
        <f t="shared" si="4"/>
        <v>49204267.699695125</v>
      </c>
      <c r="F54" s="280">
        <f t="shared" si="4"/>
        <v>65406174.169390783</v>
      </c>
      <c r="G54" s="280">
        <f t="shared" si="4"/>
        <v>81009422.681536183</v>
      </c>
      <c r="H54" s="280">
        <f t="shared" si="4"/>
        <v>98322769.697058812</v>
      </c>
      <c r="I54" s="280">
        <f t="shared" si="4"/>
        <v>115754634.59037901</v>
      </c>
      <c r="J54" s="280">
        <f t="shared" si="4"/>
        <v>127323390.49970378</v>
      </c>
      <c r="K54" s="280">
        <f t="shared" si="4"/>
        <v>128621782.28095873</v>
      </c>
      <c r="L54" s="280">
        <f t="shared" si="4"/>
        <v>136495168.4166753</v>
      </c>
      <c r="M54" s="280">
        <f t="shared" si="4"/>
        <v>117782124.01626885</v>
      </c>
      <c r="N54" s="280">
        <f t="shared" si="4"/>
        <v>111025867.02498154</v>
      </c>
      <c r="O54" s="280">
        <f t="shared" si="4"/>
        <v>113249007.54677108</v>
      </c>
      <c r="P54" s="280">
        <f t="shared" si="4"/>
        <v>112157065.69301623</v>
      </c>
      <c r="Q54" s="280">
        <f t="shared" si="4"/>
        <v>112699296.40565413</v>
      </c>
      <c r="R54" s="280">
        <f t="shared" si="4"/>
        <v>109120978.88053377</v>
      </c>
      <c r="S54" s="280">
        <f t="shared" si="4"/>
        <v>109855754.44383205</v>
      </c>
      <c r="T54" s="280">
        <f t="shared" si="4"/>
        <v>101482132.94379957</v>
      </c>
      <c r="U54" s="280">
        <f t="shared" si="4"/>
        <v>98571053.680443525</v>
      </c>
      <c r="V54" s="280">
        <f t="shared" si="4"/>
        <v>97618567.101503968</v>
      </c>
      <c r="W54" s="280">
        <f t="shared" si="4"/>
        <v>87223634.566422999</v>
      </c>
      <c r="X54" s="280">
        <f t="shared" si="4"/>
        <v>85403362.147186011</v>
      </c>
      <c r="Y54" s="280">
        <f t="shared" si="4"/>
        <v>86228485.981092453</v>
      </c>
      <c r="Z54" s="280">
        <f t="shared" si="4"/>
        <v>87085662.058959499</v>
      </c>
      <c r="AA54" s="280">
        <f t="shared" si="4"/>
        <v>84737099.070126116</v>
      </c>
      <c r="AB54" s="280">
        <f t="shared" si="4"/>
        <v>85901778.896652013</v>
      </c>
      <c r="AC54" s="280">
        <f t="shared" si="4"/>
        <v>85701350.430000007</v>
      </c>
      <c r="AD54" s="280"/>
      <c r="AE54" s="280">
        <f t="shared" si="3"/>
        <v>2548623964.0008893</v>
      </c>
    </row>
    <row r="55" spans="1:31">
      <c r="A55" s="278">
        <v>51</v>
      </c>
      <c r="B55" s="279" t="s">
        <v>138</v>
      </c>
      <c r="C55" s="280">
        <f t="shared" si="2"/>
        <v>22531848.956591636</v>
      </c>
      <c r="D55" s="280">
        <f t="shared" si="4"/>
        <v>66158621.0600316</v>
      </c>
      <c r="E55" s="280">
        <f t="shared" si="4"/>
        <v>75542161.867378056</v>
      </c>
      <c r="F55" s="280">
        <f t="shared" si="4"/>
        <v>86588506.478454679</v>
      </c>
      <c r="G55" s="280">
        <f t="shared" si="4"/>
        <v>95439081.738552436</v>
      </c>
      <c r="H55" s="280">
        <f t="shared" si="4"/>
        <v>109820051.1155</v>
      </c>
      <c r="I55" s="280">
        <f t="shared" si="4"/>
        <v>127961484.10058309</v>
      </c>
      <c r="J55" s="280">
        <f t="shared" si="4"/>
        <v>136461500.31734836</v>
      </c>
      <c r="K55" s="280">
        <f t="shared" si="4"/>
        <v>139697988.77230358</v>
      </c>
      <c r="L55" s="280">
        <f t="shared" si="4"/>
        <v>139431764.8070375</v>
      </c>
      <c r="M55" s="280">
        <f t="shared" si="4"/>
        <v>120227895.47516333</v>
      </c>
      <c r="N55" s="280">
        <f t="shared" si="4"/>
        <v>111360677.0399016</v>
      </c>
      <c r="O55" s="280">
        <f t="shared" si="4"/>
        <v>114283274.95093976</v>
      </c>
      <c r="P55" s="280">
        <f t="shared" si="4"/>
        <v>114588233.92040601</v>
      </c>
      <c r="Q55" s="280">
        <f t="shared" si="4"/>
        <v>111357620.51721273</v>
      </c>
      <c r="R55" s="280">
        <f t="shared" si="4"/>
        <v>108001327.97786491</v>
      </c>
      <c r="S55" s="280">
        <f t="shared" si="4"/>
        <v>108780198.36095801</v>
      </c>
      <c r="T55" s="280">
        <f t="shared" si="4"/>
        <v>98495762.768371627</v>
      </c>
      <c r="U55" s="280">
        <f t="shared" si="4"/>
        <v>95982572.938689515</v>
      </c>
      <c r="V55" s="280">
        <f t="shared" si="4"/>
        <v>96585163.669631466</v>
      </c>
      <c r="W55" s="280">
        <f t="shared" si="4"/>
        <v>82706180.398089677</v>
      </c>
      <c r="X55" s="280">
        <f t="shared" si="4"/>
        <v>79385141.651274785</v>
      </c>
      <c r="Y55" s="280">
        <f t="shared" si="4"/>
        <v>77609433.774005607</v>
      </c>
      <c r="Z55" s="280">
        <f t="shared" si="4"/>
        <v>77017229.411316767</v>
      </c>
      <c r="AA55" s="280">
        <f t="shared" si="4"/>
        <v>76617261.664117113</v>
      </c>
      <c r="AB55" s="280">
        <f t="shared" si="4"/>
        <v>75526929.447416514</v>
      </c>
      <c r="AC55" s="280">
        <f t="shared" si="4"/>
        <v>73890071.239999995</v>
      </c>
      <c r="AD55" s="280"/>
      <c r="AE55" s="280">
        <f t="shared" si="3"/>
        <v>2622047984.4191399</v>
      </c>
    </row>
    <row r="56" spans="1:31">
      <c r="A56" s="278">
        <v>52</v>
      </c>
      <c r="B56" s="279" t="s">
        <v>142</v>
      </c>
      <c r="C56" s="280">
        <f t="shared" si="2"/>
        <v>9445230.8199356906</v>
      </c>
      <c r="D56" s="280">
        <f t="shared" si="4"/>
        <v>28659755.857819907</v>
      </c>
      <c r="E56" s="280">
        <f t="shared" si="4"/>
        <v>41412491.983231708</v>
      </c>
      <c r="F56" s="280">
        <f t="shared" si="4"/>
        <v>48329729.482912332</v>
      </c>
      <c r="G56" s="280">
        <f t="shared" si="4"/>
        <v>57163514.593943872</v>
      </c>
      <c r="H56" s="280">
        <f t="shared" si="4"/>
        <v>61572400.142647058</v>
      </c>
      <c r="I56" s="280">
        <f t="shared" si="4"/>
        <v>73544224.109329447</v>
      </c>
      <c r="J56" s="280">
        <f t="shared" si="4"/>
        <v>83038137.698519036</v>
      </c>
      <c r="K56" s="280">
        <f t="shared" si="4"/>
        <v>89730238.716378167</v>
      </c>
      <c r="L56" s="280">
        <f t="shared" si="4"/>
        <v>97088148.83021991</v>
      </c>
      <c r="M56" s="280">
        <f t="shared" si="4"/>
        <v>86448380.030464828</v>
      </c>
      <c r="N56" s="280">
        <f t="shared" si="4"/>
        <v>84189972.994305044</v>
      </c>
      <c r="O56" s="280">
        <f t="shared" si="4"/>
        <v>82274194.923879519</v>
      </c>
      <c r="P56" s="280">
        <f t="shared" si="4"/>
        <v>81015949.740510449</v>
      </c>
      <c r="Q56" s="280">
        <f t="shared" si="4"/>
        <v>82786612.420557454</v>
      </c>
      <c r="R56" s="280">
        <f t="shared" si="4"/>
        <v>80528890.705904126</v>
      </c>
      <c r="S56" s="280">
        <f t="shared" si="4"/>
        <v>81942551.940731958</v>
      </c>
      <c r="T56" s="280">
        <f t="shared" si="4"/>
        <v>76678824.319300637</v>
      </c>
      <c r="U56" s="280">
        <f t="shared" si="4"/>
        <v>74540172.266955659</v>
      </c>
      <c r="V56" s="280">
        <f t="shared" si="4"/>
        <v>73711111.971892416</v>
      </c>
      <c r="W56" s="280">
        <f t="shared" si="4"/>
        <v>64394625.839853793</v>
      </c>
      <c r="X56" s="280">
        <f t="shared" si="4"/>
        <v>59568068.332521245</v>
      </c>
      <c r="Y56" s="280">
        <f t="shared" si="4"/>
        <v>59672131.786255836</v>
      </c>
      <c r="Z56" s="280">
        <f t="shared" si="4"/>
        <v>58706334.740257822</v>
      </c>
      <c r="AA56" s="280">
        <f t="shared" si="4"/>
        <v>55292505.195657663</v>
      </c>
      <c r="AB56" s="280">
        <f t="shared" si="4"/>
        <v>58130925.134578213</v>
      </c>
      <c r="AC56" s="280">
        <f t="shared" si="4"/>
        <v>56358630.18999999</v>
      </c>
      <c r="AD56" s="280"/>
      <c r="AE56" s="280">
        <f t="shared" si="3"/>
        <v>1806223754.7685637</v>
      </c>
    </row>
    <row r="57" spans="1:31">
      <c r="A57" s="278">
        <v>53</v>
      </c>
      <c r="B57" s="279" t="s">
        <v>144</v>
      </c>
      <c r="C57" s="280">
        <f t="shared" si="2"/>
        <v>23485042.585209001</v>
      </c>
      <c r="D57" s="280">
        <f t="shared" si="4"/>
        <v>44573966.93206951</v>
      </c>
      <c r="E57" s="280">
        <f t="shared" si="4"/>
        <v>57226488.016768299</v>
      </c>
      <c r="F57" s="280">
        <f t="shared" si="4"/>
        <v>65091020.034175336</v>
      </c>
      <c r="G57" s="280">
        <f t="shared" si="4"/>
        <v>73545833.346587881</v>
      </c>
      <c r="H57" s="280">
        <f t="shared" si="4"/>
        <v>80702844.735926479</v>
      </c>
      <c r="I57" s="280">
        <f t="shared" si="4"/>
        <v>87954583.549562693</v>
      </c>
      <c r="J57" s="280">
        <f t="shared" si="4"/>
        <v>89856593.574062049</v>
      </c>
      <c r="K57" s="280">
        <f t="shared" si="4"/>
        <v>91189007.143808261</v>
      </c>
      <c r="L57" s="280">
        <f t="shared" si="4"/>
        <v>93065784.42499353</v>
      </c>
      <c r="M57" s="280">
        <f t="shared" si="4"/>
        <v>82865569.270000011</v>
      </c>
      <c r="N57" s="280">
        <f t="shared" si="4"/>
        <v>78815695.930627316</v>
      </c>
      <c r="O57" s="280">
        <f t="shared" si="4"/>
        <v>79610730.401771069</v>
      </c>
      <c r="P57" s="280">
        <f t="shared" si="4"/>
        <v>76241789.759930387</v>
      </c>
      <c r="Q57" s="280">
        <f t="shared" si="4"/>
        <v>76652888.851137638</v>
      </c>
      <c r="R57" s="280">
        <f t="shared" si="4"/>
        <v>71707848.634074062</v>
      </c>
      <c r="S57" s="280">
        <f t="shared" si="4"/>
        <v>71705539.661560819</v>
      </c>
      <c r="T57" s="280">
        <f t="shared" si="4"/>
        <v>66441525.176868483</v>
      </c>
      <c r="U57" s="280">
        <f t="shared" si="4"/>
        <v>64679717.102177404</v>
      </c>
      <c r="V57" s="280">
        <f t="shared" si="4"/>
        <v>63307411.074332654</v>
      </c>
      <c r="W57" s="280">
        <f t="shared" si="4"/>
        <v>58294281.157894753</v>
      </c>
      <c r="X57" s="280">
        <f t="shared" si="4"/>
        <v>56602781.727507077</v>
      </c>
      <c r="Y57" s="280">
        <f t="shared" si="4"/>
        <v>56061830.280084044</v>
      </c>
      <c r="Z57" s="280">
        <f t="shared" si="4"/>
        <v>56060574.110147327</v>
      </c>
      <c r="AA57" s="280">
        <f t="shared" si="4"/>
        <v>55188849.036477484</v>
      </c>
      <c r="AB57" s="280">
        <f t="shared" si="4"/>
        <v>54683640.497706503</v>
      </c>
      <c r="AC57" s="280">
        <f t="shared" si="4"/>
        <v>57257924.75</v>
      </c>
      <c r="AD57" s="280"/>
      <c r="AE57" s="280">
        <f t="shared" si="3"/>
        <v>1832869761.76546</v>
      </c>
    </row>
    <row r="58" spans="1:31">
      <c r="A58" s="278">
        <v>54</v>
      </c>
      <c r="B58" s="279" t="s">
        <v>145</v>
      </c>
      <c r="C58" s="280">
        <f t="shared" si="2"/>
        <v>16179460.406752409</v>
      </c>
      <c r="D58" s="280">
        <f t="shared" si="4"/>
        <v>32610186.778830964</v>
      </c>
      <c r="E58" s="280">
        <f t="shared" si="4"/>
        <v>40362095.628048778</v>
      </c>
      <c r="F58" s="280">
        <f t="shared" si="4"/>
        <v>46107825.57355126</v>
      </c>
      <c r="G58" s="280">
        <f t="shared" si="4"/>
        <v>50160757.562038399</v>
      </c>
      <c r="H58" s="280">
        <f t="shared" si="4"/>
        <v>60437810.277058817</v>
      </c>
      <c r="I58" s="280">
        <f t="shared" si="4"/>
        <v>74626723.029154524</v>
      </c>
      <c r="J58" s="280">
        <f t="shared" si="4"/>
        <v>84336351.295091674</v>
      </c>
      <c r="K58" s="280">
        <f t="shared" si="4"/>
        <v>92671766.205059931</v>
      </c>
      <c r="L58" s="280">
        <f t="shared" si="4"/>
        <v>99320086.995381624</v>
      </c>
      <c r="M58" s="280">
        <f t="shared" si="4"/>
        <v>86312203.906444713</v>
      </c>
      <c r="N58" s="280">
        <f t="shared" si="4"/>
        <v>83288887.614403456</v>
      </c>
      <c r="O58" s="280">
        <f t="shared" si="4"/>
        <v>84089586.354240954</v>
      </c>
      <c r="P58" s="280">
        <f t="shared" si="4"/>
        <v>78493415.013016254</v>
      </c>
      <c r="Q58" s="280">
        <f t="shared" si="4"/>
        <v>81057440.955108061</v>
      </c>
      <c r="R58" s="280">
        <f t="shared" si="4"/>
        <v>82922018.440196067</v>
      </c>
      <c r="S58" s="280">
        <f t="shared" si="4"/>
        <v>83511305.387179762</v>
      </c>
      <c r="T58" s="280">
        <f t="shared" si="4"/>
        <v>79583036.750083506</v>
      </c>
      <c r="U58" s="280">
        <f t="shared" si="4"/>
        <v>78447024.269425377</v>
      </c>
      <c r="V58" s="280">
        <f t="shared" si="4"/>
        <v>75363574.980358556</v>
      </c>
      <c r="W58" s="280">
        <f t="shared" si="4"/>
        <v>68924303.730955169</v>
      </c>
      <c r="X58" s="280">
        <f t="shared" si="4"/>
        <v>66647860.849452317</v>
      </c>
      <c r="Y58" s="280">
        <f t="shared" si="4"/>
        <v>65265842.431839406</v>
      </c>
      <c r="Z58" s="280">
        <f t="shared" si="4"/>
        <v>68005125.349576429</v>
      </c>
      <c r="AA58" s="280">
        <f t="shared" si="4"/>
        <v>66464125.473315306</v>
      </c>
      <c r="AB58" s="280">
        <f t="shared" si="4"/>
        <v>65039340.763488583</v>
      </c>
      <c r="AC58" s="280">
        <f t="shared" si="4"/>
        <v>62861488.650000006</v>
      </c>
      <c r="AD58" s="280"/>
      <c r="AE58" s="280">
        <f t="shared" si="3"/>
        <v>1873089644.6700525</v>
      </c>
    </row>
    <row r="59" spans="1:31">
      <c r="A59" s="278">
        <v>55</v>
      </c>
      <c r="B59" s="282" t="s">
        <v>146</v>
      </c>
      <c r="C59" s="280">
        <f t="shared" si="2"/>
        <v>31915440.569131829</v>
      </c>
      <c r="D59" s="280">
        <f t="shared" si="4"/>
        <v>79578069.947867304</v>
      </c>
      <c r="E59" s="280">
        <f t="shared" si="4"/>
        <v>88739895.096036598</v>
      </c>
      <c r="F59" s="280">
        <f t="shared" si="4"/>
        <v>102480185.01783061</v>
      </c>
      <c r="G59" s="280">
        <f t="shared" si="4"/>
        <v>103780446.74059083</v>
      </c>
      <c r="H59" s="280">
        <f t="shared" si="4"/>
        <v>101864515.26738235</v>
      </c>
      <c r="I59" s="280">
        <f t="shared" si="4"/>
        <v>109610729.0335277</v>
      </c>
      <c r="J59" s="280">
        <f t="shared" si="4"/>
        <v>114305185.35912552</v>
      </c>
      <c r="K59" s="280">
        <f t="shared" si="4"/>
        <v>113235628.70306258</v>
      </c>
      <c r="L59" s="280">
        <f t="shared" si="4"/>
        <v>116957340.97301422</v>
      </c>
      <c r="M59" s="280">
        <f t="shared" si="4"/>
        <v>98911491.010376886</v>
      </c>
      <c r="N59" s="280">
        <f t="shared" si="4"/>
        <v>92103554.227220178</v>
      </c>
      <c r="O59" s="280">
        <f t="shared" si="4"/>
        <v>92908017.640939742</v>
      </c>
      <c r="P59" s="280">
        <f t="shared" si="4"/>
        <v>93052137.875696078</v>
      </c>
      <c r="Q59" s="280">
        <f t="shared" si="4"/>
        <v>92985631.635369718</v>
      </c>
      <c r="R59" s="280">
        <f t="shared" si="4"/>
        <v>88696984.17423746</v>
      </c>
      <c r="S59" s="280">
        <f t="shared" si="4"/>
        <v>84416557.117900953</v>
      </c>
      <c r="T59" s="280">
        <f t="shared" si="4"/>
        <v>77553711.237066805</v>
      </c>
      <c r="U59" s="280">
        <f t="shared" si="4"/>
        <v>75944903.905705646</v>
      </c>
      <c r="V59" s="280">
        <f t="shared" si="4"/>
        <v>79342231.649452195</v>
      </c>
      <c r="W59" s="280">
        <f t="shared" si="4"/>
        <v>78117349.791705653</v>
      </c>
      <c r="X59" s="280">
        <f t="shared" si="4"/>
        <v>77787600.107299328</v>
      </c>
      <c r="Y59" s="280">
        <f t="shared" si="4"/>
        <v>80260064.51879552</v>
      </c>
      <c r="Z59" s="280">
        <f t="shared" si="4"/>
        <v>83222347.725405157</v>
      </c>
      <c r="AA59" s="280">
        <f t="shared" si="4"/>
        <v>82014114.605153158</v>
      </c>
      <c r="AB59" s="280">
        <f t="shared" si="4"/>
        <v>83623663.930755705</v>
      </c>
      <c r="AC59" s="280">
        <f t="shared" si="4"/>
        <v>84505931.590000004</v>
      </c>
      <c r="AD59" s="280"/>
      <c r="AE59" s="280">
        <f t="shared" si="3"/>
        <v>2407913729.4506497</v>
      </c>
    </row>
    <row r="60" spans="1:31">
      <c r="A60" s="278">
        <v>56</v>
      </c>
      <c r="B60" s="279" t="s">
        <v>147</v>
      </c>
      <c r="C60" s="280">
        <f t="shared" si="2"/>
        <v>634055.58038585214</v>
      </c>
      <c r="D60" s="280">
        <f t="shared" si="4"/>
        <v>5793003.9415481836</v>
      </c>
      <c r="E60" s="280">
        <f t="shared" si="4"/>
        <v>11772341.507621951</v>
      </c>
      <c r="F60" s="280">
        <f t="shared" si="4"/>
        <v>18168505.170876671</v>
      </c>
      <c r="G60" s="280">
        <f t="shared" si="4"/>
        <v>22800674.752732642</v>
      </c>
      <c r="H60" s="280">
        <f t="shared" si="4"/>
        <v>26112570.072794117</v>
      </c>
      <c r="I60" s="280">
        <f t="shared" si="4"/>
        <v>32180833.527696796</v>
      </c>
      <c r="J60" s="280">
        <f t="shared" si="4"/>
        <v>35219606.771114245</v>
      </c>
      <c r="K60" s="280">
        <f t="shared" si="4"/>
        <v>35997377.286284953</v>
      </c>
      <c r="L60" s="280">
        <f t="shared" si="4"/>
        <v>39299442.995316945</v>
      </c>
      <c r="M60" s="280">
        <f t="shared" si="4"/>
        <v>34655192.228153266</v>
      </c>
      <c r="N60" s="280">
        <f t="shared" si="4"/>
        <v>34813947.409188189</v>
      </c>
      <c r="O60" s="280">
        <f t="shared" si="4"/>
        <v>38302571.002710842</v>
      </c>
      <c r="P60" s="280">
        <f t="shared" si="4"/>
        <v>41654239.461183295</v>
      </c>
      <c r="Q60" s="280">
        <f t="shared" si="4"/>
        <v>46482083.607303746</v>
      </c>
      <c r="R60" s="280">
        <f t="shared" si="4"/>
        <v>47440172.248812631</v>
      </c>
      <c r="S60" s="280">
        <f t="shared" si="4"/>
        <v>51929286.690678149</v>
      </c>
      <c r="T60" s="280">
        <f t="shared" si="4"/>
        <v>52816356.42301669</v>
      </c>
      <c r="U60" s="280">
        <f t="shared" si="4"/>
        <v>56360872.10564515</v>
      </c>
      <c r="V60" s="280">
        <f t="shared" si="4"/>
        <v>63784582.544402391</v>
      </c>
      <c r="W60" s="280">
        <f t="shared" si="4"/>
        <v>59152158.621861614</v>
      </c>
      <c r="X60" s="280">
        <f t="shared" si="4"/>
        <v>57999169.905845121</v>
      </c>
      <c r="Y60" s="280">
        <f t="shared" si="4"/>
        <v>60669224.342222214</v>
      </c>
      <c r="Z60" s="280">
        <f t="shared" si="4"/>
        <v>62633239.470837943</v>
      </c>
      <c r="AA60" s="280">
        <f t="shared" si="4"/>
        <v>62424535.245144151</v>
      </c>
      <c r="AB60" s="280">
        <f t="shared" si="4"/>
        <v>65762762.577688925</v>
      </c>
      <c r="AC60" s="280">
        <f t="shared" si="4"/>
        <v>67781774.819999993</v>
      </c>
      <c r="AD60" s="280"/>
      <c r="AE60" s="280">
        <f t="shared" si="3"/>
        <v>1132640580.3110666</v>
      </c>
    </row>
    <row r="61" spans="1:31">
      <c r="A61" s="278">
        <v>57</v>
      </c>
      <c r="B61" s="279" t="s">
        <v>151</v>
      </c>
      <c r="C61" s="280">
        <f t="shared" si="2"/>
        <v>28931011.098070737</v>
      </c>
      <c r="D61" s="280">
        <f t="shared" si="4"/>
        <v>57646889.649289094</v>
      </c>
      <c r="E61" s="280">
        <f t="shared" si="4"/>
        <v>69316872.641768306</v>
      </c>
      <c r="F61" s="280">
        <f t="shared" si="4"/>
        <v>91041422.068350673</v>
      </c>
      <c r="G61" s="280">
        <f t="shared" si="4"/>
        <v>106802624.16171344</v>
      </c>
      <c r="H61" s="280">
        <f t="shared" si="4"/>
        <v>122022015.81317648</v>
      </c>
      <c r="I61" s="280">
        <f t="shared" si="4"/>
        <v>160804747.7142857</v>
      </c>
      <c r="J61" s="280">
        <f t="shared" si="4"/>
        <v>183494719.73284906</v>
      </c>
      <c r="K61" s="280">
        <f t="shared" si="4"/>
        <v>186668446.92010653</v>
      </c>
      <c r="L61" s="280">
        <f t="shared" si="4"/>
        <v>198186971.49904269</v>
      </c>
      <c r="M61" s="280">
        <f t="shared" si="4"/>
        <v>172385306.83746231</v>
      </c>
      <c r="N61" s="280">
        <f t="shared" si="4"/>
        <v>161854685.65070111</v>
      </c>
      <c r="O61" s="280">
        <f t="shared" si="4"/>
        <v>162991470.47183132</v>
      </c>
      <c r="P61" s="280">
        <f t="shared" si="4"/>
        <v>165832836.30454752</v>
      </c>
      <c r="Q61" s="280">
        <f t="shared" si="4"/>
        <v>165866019.83119455</v>
      </c>
      <c r="R61" s="280">
        <f t="shared" si="4"/>
        <v>155157677.82717869</v>
      </c>
      <c r="S61" s="280">
        <f t="shared" si="4"/>
        <v>151156306.31344455</v>
      </c>
      <c r="T61" s="280">
        <f t="shared" si="4"/>
        <v>143339090.10697284</v>
      </c>
      <c r="U61" s="280">
        <f t="shared" si="4"/>
        <v>139401605.9053528</v>
      </c>
      <c r="V61" s="280">
        <f t="shared" si="4"/>
        <v>138073006.80074704</v>
      </c>
      <c r="W61" s="280">
        <f t="shared" si="4"/>
        <v>124412880.7032651</v>
      </c>
      <c r="X61" s="280">
        <f t="shared" si="4"/>
        <v>116833298.03129366</v>
      </c>
      <c r="Y61" s="280">
        <f t="shared" si="4"/>
        <v>120976354.5685434</v>
      </c>
      <c r="Z61" s="280">
        <f t="shared" si="4"/>
        <v>116211918.4487569</v>
      </c>
      <c r="AA61" s="280">
        <f t="shared" si="4"/>
        <v>111463506.11198197</v>
      </c>
      <c r="AB61" s="280">
        <f t="shared" si="4"/>
        <v>111450447.56081723</v>
      </c>
      <c r="AC61" s="280">
        <f t="shared" si="4"/>
        <v>110209894.94</v>
      </c>
      <c r="AD61" s="280"/>
      <c r="AE61" s="280">
        <f t="shared" si="3"/>
        <v>3572532027.7127433</v>
      </c>
    </row>
    <row r="62" spans="1:31">
      <c r="A62" s="278">
        <v>58</v>
      </c>
      <c r="B62" s="279" t="s">
        <v>152</v>
      </c>
      <c r="C62" s="280">
        <f t="shared" si="2"/>
        <v>36050293.102893889</v>
      </c>
      <c r="D62" s="280">
        <f t="shared" si="4"/>
        <v>61711076.992101111</v>
      </c>
      <c r="E62" s="280">
        <f t="shared" si="4"/>
        <v>61712389.079268299</v>
      </c>
      <c r="F62" s="280">
        <f t="shared" si="4"/>
        <v>72476907.30312036</v>
      </c>
      <c r="G62" s="280">
        <f t="shared" si="4"/>
        <v>83297019.08406204</v>
      </c>
      <c r="H62" s="280">
        <f t="shared" si="4"/>
        <v>96155422.05645588</v>
      </c>
      <c r="I62" s="280">
        <f t="shared" ref="D62:AC71" si="5">I25*$AC$38/I$38</f>
        <v>111429808.43002917</v>
      </c>
      <c r="J62" s="280">
        <f t="shared" si="5"/>
        <v>116844173.46331452</v>
      </c>
      <c r="K62" s="280">
        <f t="shared" si="5"/>
        <v>118220170.92942743</v>
      </c>
      <c r="L62" s="280">
        <f t="shared" si="5"/>
        <v>121554537.12019403</v>
      </c>
      <c r="M62" s="280">
        <f t="shared" si="5"/>
        <v>105615330.18440954</v>
      </c>
      <c r="N62" s="280">
        <f t="shared" si="5"/>
        <v>101462723.45690037</v>
      </c>
      <c r="O62" s="280">
        <f t="shared" si="5"/>
        <v>100449136.15132529</v>
      </c>
      <c r="P62" s="280">
        <f t="shared" si="5"/>
        <v>99567132.206751764</v>
      </c>
      <c r="Q62" s="280">
        <f t="shared" si="5"/>
        <v>99064765.988714457</v>
      </c>
      <c r="R62" s="280">
        <f t="shared" si="5"/>
        <v>94062833.00057736</v>
      </c>
      <c r="S62" s="280">
        <f t="shared" si="5"/>
        <v>96510096.367362753</v>
      </c>
      <c r="T62" s="280">
        <f t="shared" si="5"/>
        <v>89259837.303632572</v>
      </c>
      <c r="U62" s="280">
        <f t="shared" si="5"/>
        <v>88055429.330332682</v>
      </c>
      <c r="V62" s="280">
        <f t="shared" si="5"/>
        <v>87921403.96573703</v>
      </c>
      <c r="W62" s="280">
        <f t="shared" si="5"/>
        <v>78955867.443937629</v>
      </c>
      <c r="X62" s="280">
        <f t="shared" si="5"/>
        <v>77163716.139414534</v>
      </c>
      <c r="Y62" s="280">
        <f t="shared" si="5"/>
        <v>79074140.597170904</v>
      </c>
      <c r="Z62" s="280">
        <f t="shared" si="5"/>
        <v>78664291.730046049</v>
      </c>
      <c r="AA62" s="280">
        <f t="shared" si="5"/>
        <v>77247208.357594594</v>
      </c>
      <c r="AB62" s="280">
        <f t="shared" si="5"/>
        <v>78243880.273163453</v>
      </c>
      <c r="AC62" s="280">
        <f t="shared" si="5"/>
        <v>77650758.560000002</v>
      </c>
      <c r="AD62" s="280"/>
      <c r="AE62" s="280">
        <f t="shared" si="3"/>
        <v>2388420348.6179376</v>
      </c>
    </row>
    <row r="63" spans="1:31">
      <c r="A63" s="278">
        <v>59</v>
      </c>
      <c r="B63" s="279" t="s">
        <v>154</v>
      </c>
      <c r="C63" s="280">
        <f t="shared" si="2"/>
        <v>20685.446945337619</v>
      </c>
      <c r="D63" s="280">
        <f t="shared" si="5"/>
        <v>14812698.808846762</v>
      </c>
      <c r="E63" s="280">
        <f t="shared" si="5"/>
        <v>36122342.269817077</v>
      </c>
      <c r="F63" s="280">
        <f t="shared" si="5"/>
        <v>56256684.016344726</v>
      </c>
      <c r="G63" s="280">
        <f t="shared" si="5"/>
        <v>72932482.876129985</v>
      </c>
      <c r="H63" s="280">
        <f t="shared" si="5"/>
        <v>80786566.854529411</v>
      </c>
      <c r="I63" s="280">
        <f t="shared" si="5"/>
        <v>91569261.495626822</v>
      </c>
      <c r="J63" s="280">
        <f t="shared" si="5"/>
        <v>100881279.19008461</v>
      </c>
      <c r="K63" s="280">
        <f t="shared" si="5"/>
        <v>101699900.94673768</v>
      </c>
      <c r="L63" s="280">
        <f t="shared" si="5"/>
        <v>106662517.32795601</v>
      </c>
      <c r="M63" s="280">
        <f t="shared" si="5"/>
        <v>95343070.815979913</v>
      </c>
      <c r="N63" s="280">
        <f t="shared" si="5"/>
        <v>92000488.520061493</v>
      </c>
      <c r="O63" s="280">
        <f t="shared" si="5"/>
        <v>95115573.405759051</v>
      </c>
      <c r="P63" s="280">
        <f t="shared" si="5"/>
        <v>93560985.604443163</v>
      </c>
      <c r="Q63" s="280">
        <f t="shared" si="5"/>
        <v>92603051.486700773</v>
      </c>
      <c r="R63" s="280">
        <f t="shared" si="5"/>
        <v>89101688.145675376</v>
      </c>
      <c r="S63" s="280">
        <f t="shared" si="5"/>
        <v>89484860.643379971</v>
      </c>
      <c r="T63" s="280">
        <f t="shared" si="5"/>
        <v>82044623.086680576</v>
      </c>
      <c r="U63" s="280">
        <f t="shared" si="5"/>
        <v>79286894.509425387</v>
      </c>
      <c r="V63" s="280">
        <f t="shared" si="5"/>
        <v>78548872.853745013</v>
      </c>
      <c r="W63" s="280">
        <f t="shared" si="5"/>
        <v>70309860.705740735</v>
      </c>
      <c r="X63" s="280">
        <f t="shared" si="5"/>
        <v>68089971.718885735</v>
      </c>
      <c r="Y63" s="280">
        <f t="shared" si="5"/>
        <v>67198612.585854337</v>
      </c>
      <c r="Z63" s="280">
        <f t="shared" si="5"/>
        <v>66280615.470018424</v>
      </c>
      <c r="AA63" s="280">
        <f t="shared" si="5"/>
        <v>62904655.53949549</v>
      </c>
      <c r="AB63" s="280">
        <f t="shared" si="5"/>
        <v>63887039.650509648</v>
      </c>
      <c r="AC63" s="280">
        <f t="shared" si="5"/>
        <v>61281700.849999994</v>
      </c>
      <c r="AD63" s="280"/>
      <c r="AE63" s="280">
        <f t="shared" si="3"/>
        <v>2008786984.8253732</v>
      </c>
    </row>
    <row r="64" spans="1:31">
      <c r="A64" s="278">
        <v>60</v>
      </c>
      <c r="B64" s="279" t="s">
        <v>155</v>
      </c>
      <c r="C64" s="280">
        <f t="shared" si="2"/>
        <v>11311682.559485529</v>
      </c>
      <c r="D64" s="280">
        <f t="shared" si="5"/>
        <v>31866920.879936811</v>
      </c>
      <c r="E64" s="280">
        <f t="shared" si="5"/>
        <v>46964191.983231708</v>
      </c>
      <c r="F64" s="280">
        <f t="shared" si="5"/>
        <v>61035068.586924225</v>
      </c>
      <c r="G64" s="280">
        <f t="shared" si="5"/>
        <v>70411817.411787286</v>
      </c>
      <c r="H64" s="280">
        <f t="shared" si="5"/>
        <v>79588034.784338236</v>
      </c>
      <c r="I64" s="280">
        <f t="shared" si="5"/>
        <v>95066515.387755096</v>
      </c>
      <c r="J64" s="280">
        <f t="shared" si="5"/>
        <v>104239865.47959095</v>
      </c>
      <c r="K64" s="280">
        <f t="shared" si="5"/>
        <v>109565849.24633822</v>
      </c>
      <c r="L64" s="280">
        <f t="shared" si="5"/>
        <v>117985506.05133247</v>
      </c>
      <c r="M64" s="280">
        <f t="shared" si="5"/>
        <v>106646506.26454774</v>
      </c>
      <c r="N64" s="280">
        <f t="shared" si="5"/>
        <v>105003176.83457565</v>
      </c>
      <c r="O64" s="280">
        <f t="shared" si="5"/>
        <v>106634107.75904816</v>
      </c>
      <c r="P64" s="280">
        <f t="shared" si="5"/>
        <v>104096105.53263341</v>
      </c>
      <c r="Q64" s="280">
        <f t="shared" si="5"/>
        <v>104201418.26207052</v>
      </c>
      <c r="R64" s="280">
        <f t="shared" si="5"/>
        <v>104470060.28663398</v>
      </c>
      <c r="S64" s="280">
        <f t="shared" si="5"/>
        <v>105622135.98202367</v>
      </c>
      <c r="T64" s="280">
        <f t="shared" si="5"/>
        <v>95736460.174238011</v>
      </c>
      <c r="U64" s="280">
        <f t="shared" si="5"/>
        <v>95049230.33574596</v>
      </c>
      <c r="V64" s="280">
        <f t="shared" si="5"/>
        <v>94320343.09554781</v>
      </c>
      <c r="W64" s="280">
        <f t="shared" si="5"/>
        <v>87127508.218216375</v>
      </c>
      <c r="X64" s="280">
        <f t="shared" si="5"/>
        <v>84570414.333909333</v>
      </c>
      <c r="Y64" s="280">
        <f t="shared" si="5"/>
        <v>83996706.167338938</v>
      </c>
      <c r="Z64" s="280">
        <f t="shared" si="5"/>
        <v>85946441.242127091</v>
      </c>
      <c r="AA64" s="280">
        <f t="shared" si="5"/>
        <v>84274084.64645946</v>
      </c>
      <c r="AB64" s="280">
        <f t="shared" si="5"/>
        <v>83627189.761045709</v>
      </c>
      <c r="AC64" s="280">
        <f t="shared" si="5"/>
        <v>83357567.149999976</v>
      </c>
      <c r="AD64" s="280"/>
      <c r="AE64" s="280">
        <f t="shared" si="3"/>
        <v>2342714908.4168825</v>
      </c>
    </row>
    <row r="65" spans="1:31">
      <c r="A65" s="278">
        <v>61</v>
      </c>
      <c r="B65" s="279" t="s">
        <v>159</v>
      </c>
      <c r="C65" s="280">
        <f t="shared" si="2"/>
        <v>0</v>
      </c>
      <c r="D65" s="280">
        <f t="shared" si="5"/>
        <v>904395.32385466038</v>
      </c>
      <c r="E65" s="280">
        <f t="shared" si="5"/>
        <v>3427647.9740853659</v>
      </c>
      <c r="F65" s="280">
        <f t="shared" si="5"/>
        <v>4189268.3417533431</v>
      </c>
      <c r="G65" s="280">
        <f t="shared" si="5"/>
        <v>5504882.0300738551</v>
      </c>
      <c r="H65" s="280">
        <f t="shared" si="5"/>
        <v>12388762.007794118</v>
      </c>
      <c r="I65" s="280">
        <f t="shared" si="5"/>
        <v>15390695.122448981</v>
      </c>
      <c r="J65" s="280">
        <f t="shared" si="5"/>
        <v>17984714.236135401</v>
      </c>
      <c r="K65" s="280">
        <f t="shared" si="5"/>
        <v>17413307.824234355</v>
      </c>
      <c r="L65" s="280">
        <f t="shared" si="5"/>
        <v>17316598.869391982</v>
      </c>
      <c r="M65" s="280">
        <f t="shared" si="5"/>
        <v>14762820.206570353</v>
      </c>
      <c r="N65" s="280">
        <f t="shared" si="5"/>
        <v>13416326.351512918</v>
      </c>
      <c r="O65" s="280">
        <f t="shared" si="5"/>
        <v>13832681.707012048</v>
      </c>
      <c r="P65" s="280">
        <f t="shared" si="5"/>
        <v>13554479.992621811</v>
      </c>
      <c r="Q65" s="280">
        <f t="shared" si="5"/>
        <v>13900682.866905572</v>
      </c>
      <c r="R65" s="280">
        <f t="shared" si="5"/>
        <v>13169977.831328975</v>
      </c>
      <c r="S65" s="280">
        <f t="shared" si="5"/>
        <v>13274261.672906348</v>
      </c>
      <c r="T65" s="280">
        <f t="shared" si="5"/>
        <v>11771383.531430062</v>
      </c>
      <c r="U65" s="280">
        <f t="shared" si="5"/>
        <v>11135508.774566533</v>
      </c>
      <c r="V65" s="280">
        <f t="shared" si="5"/>
        <v>10498544.688675299</v>
      </c>
      <c r="W65" s="280">
        <f t="shared" si="5"/>
        <v>8570580.2116471734</v>
      </c>
      <c r="X65" s="280">
        <f t="shared" si="5"/>
        <v>7790343.7417469304</v>
      </c>
      <c r="Y65" s="280">
        <f t="shared" si="5"/>
        <v>7949350.622334267</v>
      </c>
      <c r="Z65" s="280">
        <f t="shared" si="5"/>
        <v>8609569.6517219152</v>
      </c>
      <c r="AA65" s="280">
        <f t="shared" si="5"/>
        <v>8470473.9793963972</v>
      </c>
      <c r="AB65" s="280">
        <f t="shared" si="5"/>
        <v>8958426.3132952545</v>
      </c>
      <c r="AC65" s="280">
        <f t="shared" si="5"/>
        <v>9850088.2300000004</v>
      </c>
      <c r="AD65" s="280"/>
      <c r="AE65" s="280">
        <f t="shared" si="3"/>
        <v>284035772.10344398</v>
      </c>
    </row>
    <row r="66" spans="1:31">
      <c r="A66" s="278">
        <v>62</v>
      </c>
      <c r="B66" s="282" t="s">
        <v>161</v>
      </c>
      <c r="C66" s="280">
        <f t="shared" si="2"/>
        <v>1437372.6173633439</v>
      </c>
      <c r="D66" s="280">
        <f t="shared" si="5"/>
        <v>11203114.739336492</v>
      </c>
      <c r="E66" s="280">
        <f t="shared" si="5"/>
        <v>17342292.134146344</v>
      </c>
      <c r="F66" s="280">
        <f t="shared" si="5"/>
        <v>24360129.631500743</v>
      </c>
      <c r="G66" s="280">
        <f t="shared" si="5"/>
        <v>29763628.674593791</v>
      </c>
      <c r="H66" s="280">
        <f t="shared" si="5"/>
        <v>36971691.607205883</v>
      </c>
      <c r="I66" s="280">
        <f t="shared" si="5"/>
        <v>45355810.067055397</v>
      </c>
      <c r="J66" s="280">
        <f t="shared" si="5"/>
        <v>48531431.658236943</v>
      </c>
      <c r="K66" s="280">
        <f t="shared" si="5"/>
        <v>52153305.547270305</v>
      </c>
      <c r="L66" s="280">
        <f t="shared" si="5"/>
        <v>52612490.418809831</v>
      </c>
      <c r="M66" s="280">
        <f t="shared" si="5"/>
        <v>44331512.541595481</v>
      </c>
      <c r="N66" s="280">
        <f t="shared" si="5"/>
        <v>41559806.623763844</v>
      </c>
      <c r="O66" s="280">
        <f t="shared" si="5"/>
        <v>42205183.455493972</v>
      </c>
      <c r="P66" s="280">
        <f t="shared" si="5"/>
        <v>40739940.821345709</v>
      </c>
      <c r="Q66" s="280">
        <f t="shared" si="5"/>
        <v>40120248.855631404</v>
      </c>
      <c r="R66" s="280">
        <f t="shared" si="5"/>
        <v>37043005.027734205</v>
      </c>
      <c r="S66" s="280">
        <f t="shared" si="5"/>
        <v>36523459.516813777</v>
      </c>
      <c r="T66" s="280">
        <f t="shared" si="5"/>
        <v>33346668.963789143</v>
      </c>
      <c r="U66" s="280">
        <f t="shared" si="5"/>
        <v>32612542.229637098</v>
      </c>
      <c r="V66" s="280">
        <f t="shared" si="5"/>
        <v>31127296.104571711</v>
      </c>
      <c r="W66" s="280">
        <f t="shared" si="5"/>
        <v>27373394.73557505</v>
      </c>
      <c r="X66" s="280">
        <f t="shared" si="5"/>
        <v>27981555.25062323</v>
      </c>
      <c r="Y66" s="280">
        <f t="shared" si="5"/>
        <v>30512219.357488327</v>
      </c>
      <c r="Z66" s="280">
        <f t="shared" si="5"/>
        <v>29311881.893407002</v>
      </c>
      <c r="AA66" s="280">
        <f t="shared" si="5"/>
        <v>28036119.449324325</v>
      </c>
      <c r="AB66" s="280">
        <f t="shared" si="5"/>
        <v>27375836.876344468</v>
      </c>
      <c r="AC66" s="280">
        <f t="shared" si="5"/>
        <v>28426650.629999999</v>
      </c>
      <c r="AD66" s="280"/>
      <c r="AE66" s="280">
        <f t="shared" si="3"/>
        <v>898358589.42865777</v>
      </c>
    </row>
    <row r="67" spans="1:31">
      <c r="A67" s="278">
        <v>63</v>
      </c>
      <c r="B67" s="279" t="s">
        <v>166</v>
      </c>
      <c r="C67" s="280">
        <f t="shared" si="2"/>
        <v>1877728.9147909966</v>
      </c>
      <c r="D67" s="280">
        <f t="shared" si="5"/>
        <v>7576770.1453396529</v>
      </c>
      <c r="E67" s="280">
        <f t="shared" si="5"/>
        <v>14045350.217987806</v>
      </c>
      <c r="F67" s="280">
        <f t="shared" si="5"/>
        <v>25058215.881129272</v>
      </c>
      <c r="G67" s="280">
        <f t="shared" si="5"/>
        <v>27804703.221196454</v>
      </c>
      <c r="H67" s="280">
        <f t="shared" si="5"/>
        <v>31521565.890294116</v>
      </c>
      <c r="I67" s="280">
        <f t="shared" si="5"/>
        <v>34151536.731778428</v>
      </c>
      <c r="J67" s="280">
        <f t="shared" si="5"/>
        <v>36097492.405105777</v>
      </c>
      <c r="K67" s="280">
        <f t="shared" si="5"/>
        <v>37003374.171770968</v>
      </c>
      <c r="L67" s="280">
        <f t="shared" si="5"/>
        <v>38717234.631875806</v>
      </c>
      <c r="M67" s="280">
        <f t="shared" si="5"/>
        <v>32067830.584811557</v>
      </c>
      <c r="N67" s="280">
        <f t="shared" si="5"/>
        <v>29376295.858118087</v>
      </c>
      <c r="O67" s="280">
        <f t="shared" si="5"/>
        <v>29982044.63351807</v>
      </c>
      <c r="P67" s="280">
        <f t="shared" si="5"/>
        <v>29901410.446252901</v>
      </c>
      <c r="Q67" s="280">
        <f t="shared" si="5"/>
        <v>29752687.770341288</v>
      </c>
      <c r="R67" s="280">
        <f t="shared" si="5"/>
        <v>29291930.549684092</v>
      </c>
      <c r="S67" s="280">
        <f t="shared" si="5"/>
        <v>28640748.647588801</v>
      </c>
      <c r="T67" s="280">
        <f t="shared" si="5"/>
        <v>26422682.083935287</v>
      </c>
      <c r="U67" s="280">
        <f t="shared" si="5"/>
        <v>25489919.855191529</v>
      </c>
      <c r="V67" s="280">
        <f t="shared" si="5"/>
        <v>26532191.954272904</v>
      </c>
      <c r="W67" s="280">
        <f t="shared" si="5"/>
        <v>23657226.293469787</v>
      </c>
      <c r="X67" s="280">
        <f t="shared" si="5"/>
        <v>23083400.217016056</v>
      </c>
      <c r="Y67" s="280">
        <f t="shared" si="5"/>
        <v>24352594.719393097</v>
      </c>
      <c r="Z67" s="280">
        <f t="shared" si="5"/>
        <v>24457856.741979744</v>
      </c>
      <c r="AA67" s="280">
        <f t="shared" si="5"/>
        <v>23509814.091054052</v>
      </c>
      <c r="AB67" s="280">
        <f t="shared" si="5"/>
        <v>20761207.042311072</v>
      </c>
      <c r="AC67" s="280">
        <f t="shared" si="5"/>
        <v>19862345.299999997</v>
      </c>
      <c r="AD67" s="280"/>
      <c r="AE67" s="280">
        <f t="shared" si="3"/>
        <v>700996159.00020754</v>
      </c>
    </row>
    <row r="68" spans="1:31">
      <c r="A68" s="278">
        <v>64</v>
      </c>
      <c r="B68" s="279" t="s">
        <v>38</v>
      </c>
      <c r="C68" s="280">
        <f t="shared" si="2"/>
        <v>16191316.832797427</v>
      </c>
      <c r="D68" s="280">
        <f t="shared" si="5"/>
        <v>39650382.08530806</v>
      </c>
      <c r="E68" s="280">
        <f t="shared" si="5"/>
        <v>43135038.861280486</v>
      </c>
      <c r="F68" s="280">
        <f t="shared" si="5"/>
        <v>57926687.295690939</v>
      </c>
      <c r="G68" s="280">
        <f t="shared" si="5"/>
        <v>70536867.876957148</v>
      </c>
      <c r="H68" s="280">
        <f t="shared" si="5"/>
        <v>78834675.009264708</v>
      </c>
      <c r="I68" s="280">
        <f t="shared" si="5"/>
        <v>86913369.762390673</v>
      </c>
      <c r="J68" s="280">
        <f t="shared" si="5"/>
        <v>86535379.840874463</v>
      </c>
      <c r="K68" s="280">
        <f t="shared" si="5"/>
        <v>85006488.649800271</v>
      </c>
      <c r="L68" s="280">
        <f t="shared" si="5"/>
        <v>84978081.510827944</v>
      </c>
      <c r="M68" s="280">
        <f t="shared" si="5"/>
        <v>77965130.323731154</v>
      </c>
      <c r="N68" s="280">
        <f t="shared" si="5"/>
        <v>75395508.74701108</v>
      </c>
      <c r="O68" s="280">
        <f t="shared" si="5"/>
        <v>76849653.506867468</v>
      </c>
      <c r="P68" s="280">
        <f t="shared" si="5"/>
        <v>76380177.258433864</v>
      </c>
      <c r="Q68" s="280">
        <f t="shared" si="5"/>
        <v>75609970.587622285</v>
      </c>
      <c r="R68" s="280">
        <f t="shared" si="5"/>
        <v>72360368.845087126</v>
      </c>
      <c r="S68" s="280">
        <f t="shared" si="5"/>
        <v>71601228.742088273</v>
      </c>
      <c r="T68" s="280">
        <f t="shared" si="5"/>
        <v>66356202.329311065</v>
      </c>
      <c r="U68" s="280">
        <f t="shared" si="5"/>
        <v>63809940.40204636</v>
      </c>
      <c r="V68" s="280">
        <f t="shared" si="5"/>
        <v>62081564.387559764</v>
      </c>
      <c r="W68" s="280">
        <f t="shared" si="5"/>
        <v>56077603.198801175</v>
      </c>
      <c r="X68" s="280">
        <f t="shared" si="5"/>
        <v>55573974.85752596</v>
      </c>
      <c r="Y68" s="280">
        <f t="shared" si="5"/>
        <v>54567818.406629317</v>
      </c>
      <c r="Z68" s="280">
        <f t="shared" si="5"/>
        <v>55483674.286454879</v>
      </c>
      <c r="AA68" s="280">
        <f t="shared" si="5"/>
        <v>53980090.256558552</v>
      </c>
      <c r="AB68" s="280">
        <f t="shared" si="5"/>
        <v>53365727.480439372</v>
      </c>
      <c r="AC68" s="280">
        <f t="shared" si="5"/>
        <v>52795623.890000001</v>
      </c>
      <c r="AD68" s="280"/>
      <c r="AE68" s="280">
        <f t="shared" si="3"/>
        <v>1749962545.2313604</v>
      </c>
    </row>
    <row r="69" spans="1:31">
      <c r="A69" s="278">
        <v>65</v>
      </c>
      <c r="B69" s="279" t="s">
        <v>174</v>
      </c>
      <c r="C69" s="280">
        <f t="shared" si="2"/>
        <v>3102469.127009646</v>
      </c>
      <c r="D69" s="280">
        <f t="shared" si="5"/>
        <v>23014383.785150077</v>
      </c>
      <c r="E69" s="280">
        <f t="shared" si="5"/>
        <v>40241531.301829271</v>
      </c>
      <c r="F69" s="280">
        <f t="shared" si="5"/>
        <v>54413437.797919758</v>
      </c>
      <c r="G69" s="280">
        <f t="shared" si="5"/>
        <v>75873585.679039881</v>
      </c>
      <c r="H69" s="280">
        <f t="shared" si="5"/>
        <v>89846884.171323523</v>
      </c>
      <c r="I69" s="280">
        <f t="shared" si="5"/>
        <v>107170511.29008748</v>
      </c>
      <c r="J69" s="280">
        <f t="shared" si="5"/>
        <v>114350317.36741889</v>
      </c>
      <c r="K69" s="280">
        <f t="shared" si="5"/>
        <v>118068812.08655126</v>
      </c>
      <c r="L69" s="280">
        <f t="shared" si="5"/>
        <v>123760384.40598966</v>
      </c>
      <c r="M69" s="280">
        <f t="shared" si="5"/>
        <v>108381726.19613063</v>
      </c>
      <c r="N69" s="280">
        <f t="shared" si="5"/>
        <v>105046765.1701968</v>
      </c>
      <c r="O69" s="280">
        <f t="shared" si="5"/>
        <v>108334083.67365061</v>
      </c>
      <c r="P69" s="280">
        <f t="shared" si="5"/>
        <v>107701006.47698373</v>
      </c>
      <c r="Q69" s="280">
        <f t="shared" si="5"/>
        <v>108315971.35959043</v>
      </c>
      <c r="R69" s="280">
        <f t="shared" si="5"/>
        <v>107942360.99286494</v>
      </c>
      <c r="S69" s="280">
        <f t="shared" si="5"/>
        <v>115777212.75017221</v>
      </c>
      <c r="T69" s="280">
        <f t="shared" si="5"/>
        <v>111705565.78649269</v>
      </c>
      <c r="U69" s="280">
        <f t="shared" si="5"/>
        <v>125112996.00405242</v>
      </c>
      <c r="V69" s="280">
        <f t="shared" si="5"/>
        <v>125920486.02950197</v>
      </c>
      <c r="W69" s="280">
        <f t="shared" si="5"/>
        <v>111533252.61811893</v>
      </c>
      <c r="X69" s="280">
        <f t="shared" si="5"/>
        <v>110732902.43622285</v>
      </c>
      <c r="Y69" s="280">
        <f t="shared" si="5"/>
        <v>115480535.21816993</v>
      </c>
      <c r="Z69" s="280">
        <f t="shared" si="5"/>
        <v>116483669.89674954</v>
      </c>
      <c r="AA69" s="280">
        <f t="shared" si="5"/>
        <v>117682122.84043242</v>
      </c>
      <c r="AB69" s="280">
        <f t="shared" si="5"/>
        <v>108996616.95903341</v>
      </c>
      <c r="AC69" s="280">
        <f t="shared" si="5"/>
        <v>110856167.75999999</v>
      </c>
      <c r="AD69" s="280"/>
      <c r="AE69" s="280">
        <f t="shared" si="3"/>
        <v>2665845759.1806831</v>
      </c>
    </row>
    <row r="70" spans="1:31">
      <c r="A70" s="278">
        <v>66</v>
      </c>
      <c r="B70" s="279" t="s">
        <v>175</v>
      </c>
      <c r="C70" s="280">
        <f t="shared" si="2"/>
        <v>2080187.9999999998</v>
      </c>
      <c r="D70" s="280">
        <f t="shared" si="5"/>
        <v>19741467.175355453</v>
      </c>
      <c r="E70" s="280">
        <f t="shared" si="5"/>
        <v>32239008.949695121</v>
      </c>
      <c r="F70" s="280">
        <f t="shared" si="5"/>
        <v>45412715.763744429</v>
      </c>
      <c r="G70" s="280">
        <f t="shared" si="5"/>
        <v>54801527.402954213</v>
      </c>
      <c r="H70" s="280">
        <f t="shared" si="5"/>
        <v>63407191.672647059</v>
      </c>
      <c r="I70" s="280">
        <f t="shared" si="5"/>
        <v>73161227.167638481</v>
      </c>
      <c r="J70" s="280">
        <f t="shared" si="5"/>
        <v>78610376.830648795</v>
      </c>
      <c r="K70" s="280">
        <f t="shared" si="5"/>
        <v>83891987.77896139</v>
      </c>
      <c r="L70" s="280">
        <f t="shared" si="5"/>
        <v>89053716.86447607</v>
      </c>
      <c r="M70" s="280">
        <f t="shared" si="5"/>
        <v>81416145.471243724</v>
      </c>
      <c r="N70" s="280">
        <f t="shared" si="5"/>
        <v>83585044.003431723</v>
      </c>
      <c r="O70" s="280">
        <f t="shared" si="5"/>
        <v>86348755.347084343</v>
      </c>
      <c r="P70" s="280">
        <f t="shared" si="5"/>
        <v>88370991.766705319</v>
      </c>
      <c r="Q70" s="280">
        <f t="shared" si="5"/>
        <v>90532157.077098966</v>
      </c>
      <c r="R70" s="280">
        <f t="shared" si="5"/>
        <v>92363954.42269063</v>
      </c>
      <c r="S70" s="280">
        <f t="shared" si="5"/>
        <v>96372967.096727654</v>
      </c>
      <c r="T70" s="280">
        <f t="shared" si="5"/>
        <v>96665729.873851791</v>
      </c>
      <c r="U70" s="280">
        <f t="shared" si="5"/>
        <v>98210519.683175385</v>
      </c>
      <c r="V70" s="280">
        <f t="shared" si="5"/>
        <v>99908894.868476093</v>
      </c>
      <c r="W70" s="280">
        <f t="shared" si="5"/>
        <v>96981721.30992204</v>
      </c>
      <c r="X70" s="280">
        <f t="shared" si="5"/>
        <v>96655433.283814907</v>
      </c>
      <c r="Y70" s="280">
        <f t="shared" si="5"/>
        <v>98507196.400915042</v>
      </c>
      <c r="Z70" s="280">
        <f t="shared" si="5"/>
        <v>101599147.86929098</v>
      </c>
      <c r="AA70" s="280">
        <f t="shared" si="5"/>
        <v>99786916.818738744</v>
      </c>
      <c r="AB70" s="280">
        <f t="shared" si="5"/>
        <v>104995022.54594025</v>
      </c>
      <c r="AC70" s="280">
        <f t="shared" si="5"/>
        <v>106057102.17999999</v>
      </c>
      <c r="AD70" s="280"/>
      <c r="AE70" s="280">
        <f t="shared" si="3"/>
        <v>2160757107.6252284</v>
      </c>
    </row>
    <row r="71" spans="1:31">
      <c r="A71" s="278">
        <v>67</v>
      </c>
      <c r="B71" s="279" t="s">
        <v>39</v>
      </c>
      <c r="C71" s="280">
        <f t="shared" si="2"/>
        <v>3307543.9485530546</v>
      </c>
      <c r="D71" s="280">
        <f t="shared" si="5"/>
        <v>4858823.0679304898</v>
      </c>
      <c r="E71" s="280">
        <f t="shared" si="5"/>
        <v>9114955.6387195121</v>
      </c>
      <c r="F71" s="280">
        <f t="shared" si="5"/>
        <v>17884910.052005943</v>
      </c>
      <c r="G71" s="280">
        <f t="shared" si="5"/>
        <v>27775249.421831608</v>
      </c>
      <c r="H71" s="280">
        <f t="shared" si="5"/>
        <v>40024471.100058824</v>
      </c>
      <c r="I71" s="280">
        <f t="shared" si="5"/>
        <v>49098948.081632659</v>
      </c>
      <c r="J71" s="280">
        <f t="shared" si="5"/>
        <v>52936176.661833562</v>
      </c>
      <c r="K71" s="280">
        <f t="shared" si="5"/>
        <v>54895161.021304928</v>
      </c>
      <c r="L71" s="280">
        <f t="shared" si="5"/>
        <v>55183626.593001291</v>
      </c>
      <c r="M71" s="280">
        <f t="shared" si="5"/>
        <v>48485607.465728648</v>
      </c>
      <c r="N71" s="280">
        <f t="shared" si="5"/>
        <v>44446173.610639609</v>
      </c>
      <c r="O71" s="280">
        <f t="shared" si="5"/>
        <v>42341823.938024104</v>
      </c>
      <c r="P71" s="280">
        <f t="shared" si="5"/>
        <v>40593456.710313223</v>
      </c>
      <c r="Q71" s="280">
        <f t="shared" si="5"/>
        <v>40872852.599908985</v>
      </c>
      <c r="R71" s="280">
        <f t="shared" si="5"/>
        <v>39559844.55068627</v>
      </c>
      <c r="S71" s="280">
        <f t="shared" si="5"/>
        <v>40609052.284768574</v>
      </c>
      <c r="T71" s="280">
        <f t="shared" si="5"/>
        <v>37333749.538841337</v>
      </c>
      <c r="U71" s="280">
        <f t="shared" si="5"/>
        <v>36381996.806885079</v>
      </c>
      <c r="V71" s="280">
        <f t="shared" si="5"/>
        <v>35461761.233436242</v>
      </c>
      <c r="W71" s="280">
        <f t="shared" si="5"/>
        <v>32765734.011978563</v>
      </c>
      <c r="X71" s="280">
        <f t="shared" si="5"/>
        <v>32179459.430953734</v>
      </c>
      <c r="Y71" s="280">
        <f t="shared" si="5"/>
        <v>32884203.16073763</v>
      </c>
      <c r="Z71" s="280">
        <f t="shared" si="5"/>
        <v>34420199.254944749</v>
      </c>
      <c r="AA71" s="280">
        <f t="shared" si="5"/>
        <v>31439418.776036043</v>
      </c>
      <c r="AB71" s="280">
        <f t="shared" si="5"/>
        <v>30939771.41986819</v>
      </c>
      <c r="AC71" s="280">
        <f t="shared" si="5"/>
        <v>30265707.479999997</v>
      </c>
      <c r="AD71" s="280"/>
      <c r="AE71" s="280">
        <f t="shared" si="3"/>
        <v>946060677.860623</v>
      </c>
    </row>
    <row r="72" spans="1:31">
      <c r="A72" s="278">
        <v>68</v>
      </c>
      <c r="B72" s="279" t="s">
        <v>177</v>
      </c>
      <c r="C72" s="280">
        <f t="shared" si="2"/>
        <v>3909037.618971061</v>
      </c>
      <c r="D72" s="280">
        <f t="shared" ref="D72:AC73" si="6">D35*$AC$38/D$38</f>
        <v>11981428.462875197</v>
      </c>
      <c r="E72" s="280">
        <f t="shared" si="6"/>
        <v>19042712.69664634</v>
      </c>
      <c r="F72" s="280">
        <f t="shared" si="6"/>
        <v>26275163.94205052</v>
      </c>
      <c r="G72" s="280">
        <f t="shared" si="6"/>
        <v>29660198.343028061</v>
      </c>
      <c r="H72" s="280">
        <f t="shared" si="6"/>
        <v>34465058.719073527</v>
      </c>
      <c r="I72" s="280">
        <f t="shared" si="6"/>
        <v>42729357.513119541</v>
      </c>
      <c r="J72" s="280">
        <f t="shared" si="6"/>
        <v>46600173.871495061</v>
      </c>
      <c r="K72" s="280">
        <f t="shared" si="6"/>
        <v>47265356.474034622</v>
      </c>
      <c r="L72" s="280">
        <f t="shared" si="6"/>
        <v>50366930.89672704</v>
      </c>
      <c r="M72" s="280">
        <f t="shared" si="6"/>
        <v>44617864.171796486</v>
      </c>
      <c r="N72" s="280">
        <f t="shared" si="6"/>
        <v>41474837.19817958</v>
      </c>
      <c r="O72" s="280">
        <f t="shared" si="6"/>
        <v>42252050.710325308</v>
      </c>
      <c r="P72" s="280">
        <f t="shared" si="6"/>
        <v>42216384.245986082</v>
      </c>
      <c r="Q72" s="280">
        <f t="shared" si="6"/>
        <v>43018918.349988624</v>
      </c>
      <c r="R72" s="280">
        <f t="shared" si="6"/>
        <v>41803019.809030503</v>
      </c>
      <c r="S72" s="280">
        <f t="shared" si="6"/>
        <v>42400179.726587728</v>
      </c>
      <c r="T72" s="280">
        <f t="shared" si="6"/>
        <v>39464516.858611695</v>
      </c>
      <c r="U72" s="280">
        <f t="shared" si="6"/>
        <v>35778207.572560482</v>
      </c>
      <c r="V72" s="280">
        <f t="shared" si="6"/>
        <v>34639178.914561756</v>
      </c>
      <c r="W72" s="280">
        <f t="shared" si="6"/>
        <v>28726447.905994151</v>
      </c>
      <c r="X72" s="280">
        <f t="shared" si="6"/>
        <v>28496317.281718601</v>
      </c>
      <c r="Y72" s="280">
        <f t="shared" si="6"/>
        <v>30453227.623155925</v>
      </c>
      <c r="Z72" s="280">
        <f t="shared" si="6"/>
        <v>30039812.849714547</v>
      </c>
      <c r="AA72" s="280">
        <f t="shared" si="6"/>
        <v>29447876.58375676</v>
      </c>
      <c r="AB72" s="280">
        <f t="shared" si="6"/>
        <v>29171779.230193321</v>
      </c>
      <c r="AC72" s="280">
        <f t="shared" si="6"/>
        <v>29226804.269999996</v>
      </c>
      <c r="AD72" s="280"/>
      <c r="AE72" s="280">
        <f t="shared" si="3"/>
        <v>925522841.84018266</v>
      </c>
    </row>
    <row r="73" spans="1:31">
      <c r="A73" s="278">
        <v>69</v>
      </c>
      <c r="B73" s="282" t="s">
        <v>1464</v>
      </c>
      <c r="C73" s="280">
        <f t="shared" si="2"/>
        <v>384928099.49035364</v>
      </c>
      <c r="D73" s="280">
        <f t="shared" si="6"/>
        <v>987001756.03159559</v>
      </c>
      <c r="E73" s="280">
        <f t="shared" si="6"/>
        <v>1287620518.6356709</v>
      </c>
      <c r="F73" s="280">
        <f t="shared" si="6"/>
        <v>1622618917.9925706</v>
      </c>
      <c r="G73" s="280">
        <f t="shared" si="6"/>
        <v>1893278159.818316</v>
      </c>
      <c r="H73" s="280">
        <f t="shared" si="6"/>
        <v>2177206076.1600142</v>
      </c>
      <c r="I73" s="280">
        <f t="shared" si="6"/>
        <v>2548338674.9183674</v>
      </c>
      <c r="J73" s="280">
        <f t="shared" si="6"/>
        <v>2755940178.073709</v>
      </c>
      <c r="K73" s="280">
        <f t="shared" si="6"/>
        <v>2833323908.2463384</v>
      </c>
      <c r="L73" s="280">
        <f t="shared" si="6"/>
        <v>2982063542.8339071</v>
      </c>
      <c r="M73" s="280">
        <f t="shared" si="6"/>
        <v>2629415728.4823122</v>
      </c>
      <c r="N73" s="280">
        <f t="shared" si="6"/>
        <v>2514558697.4438138</v>
      </c>
      <c r="O73" s="280">
        <f t="shared" si="6"/>
        <v>2569609216.1355662</v>
      </c>
      <c r="P73" s="280">
        <f t="shared" si="6"/>
        <v>2561890501.6684461</v>
      </c>
      <c r="Q73" s="280">
        <f t="shared" si="6"/>
        <v>2581932354.133913</v>
      </c>
      <c r="R73" s="280">
        <f t="shared" si="6"/>
        <v>2534618710.3026037</v>
      </c>
      <c r="S73" s="280">
        <f t="shared" si="6"/>
        <v>2583765743.4532509</v>
      </c>
      <c r="T73" s="280">
        <f t="shared" si="6"/>
        <v>2412615353.6006989</v>
      </c>
      <c r="U73" s="280">
        <f t="shared" si="6"/>
        <v>2388006568.1613007</v>
      </c>
      <c r="V73" s="280">
        <f t="shared" si="6"/>
        <v>2388725991.1414642</v>
      </c>
      <c r="W73" s="280">
        <f t="shared" si="6"/>
        <v>2166891205.7034597</v>
      </c>
      <c r="X73" s="280">
        <f t="shared" si="6"/>
        <v>2108083653.0094135</v>
      </c>
      <c r="Y73" s="280">
        <f t="shared" si="6"/>
        <v>2145096349.8404577</v>
      </c>
      <c r="Z73" s="280">
        <f t="shared" si="6"/>
        <v>2155868723.0081224</v>
      </c>
      <c r="AA73" s="280">
        <f t="shared" si="6"/>
        <v>2097770483.0885489</v>
      </c>
      <c r="AB73" s="280">
        <f t="shared" si="6"/>
        <v>2103216363.2897189</v>
      </c>
      <c r="AC73" s="280">
        <f t="shared" si="6"/>
        <v>2100149539.4500003</v>
      </c>
      <c r="AD73" s="285"/>
      <c r="AE73" s="280">
        <f t="shared" si="3"/>
        <v>59514535014.113937</v>
      </c>
    </row>
  </sheetData>
  <sheetProtection password="CF21" sheet="1" objects="1" scenarios="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499984740745262"/>
    <pageSetUpPr autoPageBreaks="0" fitToPage="1"/>
  </sheetPr>
  <dimension ref="A1:AJ42"/>
  <sheetViews>
    <sheetView showGridLines="0" showRowColHeaders="0" zoomScale="95" zoomScaleNormal="95" workbookViewId="0">
      <pane ySplit="1" topLeftCell="A2" activePane="bottomLeft" state="frozen"/>
      <selection activeCell="C9" sqref="C9"/>
      <selection pane="bottomLeft" activeCell="C41" sqref="C41:D41"/>
    </sheetView>
  </sheetViews>
  <sheetFormatPr defaultRowHeight="12.75"/>
  <cols>
    <col min="1" max="1" width="1.7109375" style="287" customWidth="1"/>
    <col min="2" max="2" width="7.140625" style="286" customWidth="1"/>
    <col min="3" max="4" width="15.42578125" style="286" customWidth="1"/>
    <col min="5" max="5" width="9.140625" style="286"/>
    <col min="6" max="6" width="11" style="286" customWidth="1"/>
    <col min="7" max="10" width="9.140625" style="286"/>
    <col min="11" max="11" width="13.7109375" style="286" customWidth="1"/>
    <col min="12" max="12" width="10.7109375" style="286" customWidth="1"/>
    <col min="13" max="13" width="4.140625" style="286" customWidth="1"/>
    <col min="14" max="14" width="6.28515625" style="286" customWidth="1"/>
    <col min="15" max="15" width="9.140625" style="286"/>
    <col min="16" max="23" width="0.42578125" style="286" customWidth="1"/>
    <col min="24" max="26" width="9.140625" style="286"/>
    <col min="27" max="27" width="10" style="286" bestFit="1" customWidth="1"/>
    <col min="28" max="30" width="9.140625" style="286"/>
    <col min="31" max="31" width="9.5703125" style="286" bestFit="1" customWidth="1"/>
    <col min="32" max="33" width="9.140625" style="324"/>
    <col min="34" max="34" width="13.140625" style="324" customWidth="1"/>
    <col min="35" max="35" width="11" style="325" customWidth="1"/>
    <col min="36" max="16384" width="9.140625" style="286"/>
  </cols>
  <sheetData>
    <row r="1" spans="1:36" ht="47.25" customHeight="1">
      <c r="B1" s="428" t="s">
        <v>1515</v>
      </c>
      <c r="C1" s="428"/>
      <c r="D1" s="428"/>
      <c r="E1" s="428"/>
      <c r="F1" s="428"/>
      <c r="G1" s="428"/>
      <c r="H1" s="428"/>
      <c r="I1" s="428"/>
      <c r="J1" s="428"/>
      <c r="K1" s="428"/>
      <c r="L1" s="428"/>
      <c r="M1" s="428"/>
      <c r="N1" s="428"/>
      <c r="O1" s="428"/>
      <c r="R1" s="322"/>
      <c r="S1" s="322"/>
      <c r="T1" s="322"/>
      <c r="U1" s="322"/>
      <c r="V1" s="322"/>
      <c r="W1" s="322"/>
      <c r="X1" s="429" t="s">
        <v>1527</v>
      </c>
      <c r="Y1" s="429"/>
      <c r="Z1" s="429"/>
      <c r="AA1" s="429"/>
      <c r="AB1" s="429"/>
      <c r="AC1" s="429"/>
      <c r="AD1" s="429"/>
      <c r="AE1" s="429"/>
      <c r="AF1" s="429"/>
      <c r="AG1" s="429"/>
      <c r="AH1" s="429"/>
      <c r="AI1" s="429"/>
    </row>
    <row r="2" spans="1:36" ht="15.75">
      <c r="B2" s="430" t="s">
        <v>1466</v>
      </c>
      <c r="C2" s="430"/>
      <c r="D2" s="430"/>
      <c r="E2" s="430"/>
      <c r="F2" s="430"/>
      <c r="G2" s="430"/>
      <c r="H2" s="430"/>
      <c r="I2" s="430"/>
      <c r="J2" s="430"/>
      <c r="K2" s="430"/>
      <c r="L2" s="430"/>
      <c r="M2" s="430"/>
      <c r="N2" s="430"/>
      <c r="O2" s="430"/>
      <c r="Q2" s="288"/>
      <c r="R2" s="289"/>
      <c r="S2" s="289"/>
      <c r="T2" s="289"/>
      <c r="U2" s="287"/>
      <c r="V2" s="287"/>
      <c r="W2" s="322"/>
      <c r="Y2" s="323" t="s">
        <v>1476</v>
      </c>
      <c r="Z2" s="323"/>
      <c r="AA2" s="323" t="s">
        <v>1477</v>
      </c>
      <c r="AB2" s="323"/>
      <c r="AC2" s="323" t="s">
        <v>1478</v>
      </c>
      <c r="AG2" s="418" t="s">
        <v>1410</v>
      </c>
      <c r="AH2" s="418"/>
      <c r="AI2" s="418"/>
    </row>
    <row r="3" spans="1:36">
      <c r="I3" s="290"/>
      <c r="J3" s="291"/>
      <c r="K3" s="292"/>
      <c r="L3" s="293" t="s">
        <v>1467</v>
      </c>
      <c r="M3" s="293"/>
      <c r="N3" s="293" t="s">
        <v>1468</v>
      </c>
      <c r="O3" s="294"/>
      <c r="P3" s="287"/>
      <c r="Q3" s="289"/>
      <c r="R3" s="289"/>
      <c r="S3" s="289"/>
      <c r="T3" s="289"/>
      <c r="U3" s="295" t="str">
        <f>C10</f>
        <v>Greater Dandenong</v>
      </c>
      <c r="V3" s="295" t="str">
        <f>D10</f>
        <v>Nillumbik</v>
      </c>
      <c r="W3" s="295"/>
      <c r="X3" s="287"/>
      <c r="Y3" s="326">
        <v>10</v>
      </c>
      <c r="Z3" s="287"/>
      <c r="AA3" s="326">
        <v>27</v>
      </c>
      <c r="AB3" s="287"/>
      <c r="AC3" s="327">
        <v>2</v>
      </c>
      <c r="AD3" s="287"/>
      <c r="AE3" s="287"/>
      <c r="AF3" s="328"/>
      <c r="AG3" s="328"/>
      <c r="AH3" s="328"/>
      <c r="AJ3" s="287"/>
    </row>
    <row r="4" spans="1:36">
      <c r="B4" s="329"/>
      <c r="C4" s="329" t="s">
        <v>1479</v>
      </c>
      <c r="D4" s="330"/>
      <c r="E4" s="296">
        <v>10</v>
      </c>
      <c r="I4" s="297"/>
      <c r="J4" s="298">
        <v>10</v>
      </c>
      <c r="K4" s="299" t="str">
        <f>C10</f>
        <v>Greater Dandenong</v>
      </c>
      <c r="L4" s="300">
        <f>(U6-U4)/U4*100</f>
        <v>-26.318567372806601</v>
      </c>
      <c r="M4" s="301"/>
      <c r="N4" s="302">
        <f>U6-U4</f>
        <v>-42.617489721798208</v>
      </c>
      <c r="O4" s="303" t="s">
        <v>8</v>
      </c>
      <c r="P4" s="287"/>
      <c r="Q4" s="289"/>
      <c r="R4" s="289" t="s">
        <v>1469</v>
      </c>
      <c r="S4" s="289"/>
      <c r="T4" s="289"/>
      <c r="U4" s="304">
        <f>VLOOKUP($J$4,$A$11:$D$37,3)</f>
        <v>161.9293676517982</v>
      </c>
      <c r="V4" s="304">
        <f>VLOOKUP($J$4,$A$11:$D$37,4)</f>
        <v>17.316598869391981</v>
      </c>
      <c r="W4" s="295"/>
      <c r="X4" s="287"/>
      <c r="Y4" s="287"/>
      <c r="Z4" s="287"/>
      <c r="AA4" s="287"/>
      <c r="AB4" s="287"/>
      <c r="AC4" s="287"/>
      <c r="AD4" s="287"/>
      <c r="AE4" s="287"/>
      <c r="AF4" s="328"/>
      <c r="AG4" s="328"/>
      <c r="AH4" s="328"/>
      <c r="AJ4" s="287"/>
    </row>
    <row r="5" spans="1:36">
      <c r="B5" s="329"/>
      <c r="C5" s="329"/>
      <c r="D5" s="330"/>
      <c r="G5" s="305"/>
      <c r="H5" s="306"/>
      <c r="I5" s="297"/>
      <c r="J5" s="307"/>
      <c r="K5" s="308"/>
      <c r="L5" s="309"/>
      <c r="M5" s="308"/>
      <c r="N5" s="308"/>
      <c r="O5" s="310"/>
      <c r="P5" s="287"/>
      <c r="Q5" s="289"/>
      <c r="R5" s="289" t="s">
        <v>1470</v>
      </c>
      <c r="S5" s="289"/>
      <c r="T5" s="289"/>
      <c r="U5" s="304"/>
      <c r="V5" s="304"/>
      <c r="W5" s="295"/>
      <c r="X5" s="287"/>
      <c r="Y5" s="287"/>
      <c r="Z5" s="287"/>
      <c r="AA5" s="287"/>
      <c r="AB5" s="287"/>
      <c r="AC5" s="326">
        <v>2</v>
      </c>
      <c r="AD5" s="287"/>
      <c r="AE5" s="287"/>
      <c r="AF5" s="328"/>
      <c r="AG5" s="328"/>
      <c r="AH5" s="328"/>
      <c r="AJ5" s="287"/>
    </row>
    <row r="6" spans="1:36">
      <c r="B6" s="329"/>
      <c r="C6" s="329" t="s">
        <v>1480</v>
      </c>
      <c r="D6" s="330"/>
      <c r="E6" s="296">
        <v>24</v>
      </c>
      <c r="I6" s="297"/>
      <c r="J6" s="298">
        <v>27</v>
      </c>
      <c r="K6" s="311" t="str">
        <f>D10</f>
        <v>Nillumbik</v>
      </c>
      <c r="L6" s="312">
        <f>(V6-V4)/V4*100</f>
        <v>-43.117650848801716</v>
      </c>
      <c r="M6" s="308"/>
      <c r="N6" s="313">
        <f>V6-V4</f>
        <v>-7.4665106393919807</v>
      </c>
      <c r="O6" s="314" t="s">
        <v>8</v>
      </c>
      <c r="P6" s="287"/>
      <c r="Q6" s="289"/>
      <c r="R6" s="289"/>
      <c r="S6" s="289"/>
      <c r="T6" s="289"/>
      <c r="U6" s="304">
        <f>VLOOKUP($J$6,$A$11:$D$37,3)</f>
        <v>119.31187792999999</v>
      </c>
      <c r="V6" s="304">
        <f>VLOOKUP($J$6,$A$11:$D$37,4)</f>
        <v>9.8500882300000008</v>
      </c>
      <c r="W6" s="295"/>
      <c r="X6" s="331"/>
      <c r="Y6" s="331"/>
      <c r="Z6" s="331"/>
      <c r="AA6" s="331"/>
      <c r="AB6" s="331"/>
      <c r="AC6" s="331"/>
      <c r="AD6" s="331"/>
      <c r="AE6" s="331"/>
      <c r="AF6" s="332"/>
      <c r="AG6" s="328"/>
      <c r="AH6" s="328"/>
      <c r="AJ6" s="287"/>
    </row>
    <row r="7" spans="1:36">
      <c r="B7" s="329"/>
      <c r="C7" s="329"/>
      <c r="D7" s="330"/>
      <c r="I7" s="297"/>
      <c r="J7" s="307"/>
      <c r="K7" s="307"/>
      <c r="L7" s="307"/>
      <c r="M7" s="307"/>
      <c r="N7" s="307"/>
      <c r="O7" s="315"/>
      <c r="P7" s="287"/>
      <c r="Q7" s="289"/>
      <c r="R7" s="289" t="s">
        <v>1469</v>
      </c>
      <c r="S7" s="289"/>
      <c r="T7" s="289"/>
      <c r="U7" s="295"/>
      <c r="V7" s="295"/>
      <c r="W7" s="295"/>
      <c r="X7" s="331"/>
      <c r="Y7" s="331"/>
      <c r="Z7" s="331"/>
      <c r="AA7" s="331"/>
      <c r="AB7" s="331"/>
      <c r="AC7" s="331"/>
      <c r="AD7" s="331"/>
      <c r="AE7" s="331"/>
      <c r="AF7" s="332"/>
      <c r="AG7" s="328"/>
      <c r="AH7" s="328"/>
      <c r="AJ7" s="287"/>
    </row>
    <row r="8" spans="1:36">
      <c r="B8" s="329" t="s">
        <v>1481</v>
      </c>
      <c r="C8" s="329"/>
      <c r="D8" s="330"/>
      <c r="E8" s="316">
        <v>2</v>
      </c>
      <c r="G8" s="431" t="str">
        <f>CONCATENATE("EGM Losses for ",C10," and ",D10,": ",INDEX(R4:R5,E8))</f>
        <v>EGM Losses for Greater Dandenong and Nillumbik: Adjust for inflation</v>
      </c>
      <c r="H8" s="431"/>
      <c r="I8" s="431"/>
      <c r="J8" s="431"/>
      <c r="K8" s="431"/>
      <c r="L8" s="431"/>
      <c r="M8" s="431"/>
      <c r="N8" s="431"/>
      <c r="O8" s="431"/>
      <c r="P8" s="287"/>
      <c r="Q8" s="287"/>
      <c r="R8" s="289" t="s">
        <v>1470</v>
      </c>
      <c r="S8" s="287"/>
      <c r="T8" s="287"/>
      <c r="U8" s="295"/>
      <c r="V8" s="295"/>
      <c r="W8" s="295"/>
      <c r="X8" s="331"/>
      <c r="Y8" s="328">
        <v>1</v>
      </c>
      <c r="Z8" s="379" t="s">
        <v>106</v>
      </c>
      <c r="AA8" s="380">
        <f>VLOOKUP($AC$5*37-37+$Y8,'Data (2)'!$A$5:$AC$73,2+$Y$3)</f>
        <v>97369319.342833117</v>
      </c>
      <c r="AB8" s="380">
        <f>VLOOKUP($AC$5*37-37+$Y8,'Data (2)'!$A$5:$AC$73,2+$AA$3)</f>
        <v>57758108.75</v>
      </c>
      <c r="AC8" s="380">
        <f>AB8-AA8</f>
        <v>-39611210.592833117</v>
      </c>
      <c r="AD8" s="380">
        <f>AC8/AA8*100</f>
        <v>-40.681408538313569</v>
      </c>
      <c r="AE8" s="380">
        <f t="shared" ref="AE8:AE38" si="0">IF($AC$3=1,AC8,AD8)</f>
        <v>-40.681408538313569</v>
      </c>
      <c r="AF8" s="328">
        <f>AE8+0.00001*Y8</f>
        <v>-40.681398538313566</v>
      </c>
      <c r="AG8" s="328">
        <f>RANK(AF8,AF$8:AF$38)</f>
        <v>20</v>
      </c>
      <c r="AH8" s="333" t="str">
        <f>VLOOKUP(MATCH(Y8,AG$8:AG$38,0),$Y$8:$AF$38,2)</f>
        <v>Melton</v>
      </c>
      <c r="AI8" s="334">
        <f>VLOOKUP(MATCH(Y8,AG$8:AG$38,0),$Y$8:$AF$38,8)</f>
        <v>72.475343981386203</v>
      </c>
      <c r="AJ8" s="287"/>
    </row>
    <row r="9" spans="1:36">
      <c r="C9" s="433" t="s">
        <v>1474</v>
      </c>
      <c r="D9" s="433"/>
      <c r="E9" s="317"/>
      <c r="F9" s="317"/>
      <c r="G9" s="432"/>
      <c r="H9" s="432"/>
      <c r="I9" s="432"/>
      <c r="J9" s="432"/>
      <c r="K9" s="432"/>
      <c r="L9" s="432"/>
      <c r="M9" s="432"/>
      <c r="N9" s="432"/>
      <c r="O9" s="432"/>
      <c r="P9" s="287"/>
      <c r="Q9" s="287"/>
      <c r="R9" s="287"/>
      <c r="S9" s="287"/>
      <c r="T9" s="287"/>
      <c r="U9" s="295"/>
      <c r="V9" s="295"/>
      <c r="W9" s="295"/>
      <c r="X9" s="383" t="s">
        <v>1482</v>
      </c>
      <c r="Y9" s="328">
        <v>2</v>
      </c>
      <c r="Z9" s="379" t="s">
        <v>109</v>
      </c>
      <c r="AA9" s="380">
        <f>VLOOKUP($AC$5*37-37+$Y9,'Data (2)'!$A$5:$AC$73,2+$Y$3)</f>
        <v>30157908.551423028</v>
      </c>
      <c r="AB9" s="380">
        <f>VLOOKUP($AC$5*37-37+$Y9,'Data (2)'!$A$5:$AC$73,2+$AA$3)</f>
        <v>13807869.640000001</v>
      </c>
      <c r="AC9" s="380">
        <f t="shared" ref="AC9:AC38" si="1">AB9-AA9</f>
        <v>-16350038.911423028</v>
      </c>
      <c r="AD9" s="380">
        <f t="shared" ref="AD9:AD38" si="2">AC9/AA9*100</f>
        <v>-54.214763877090988</v>
      </c>
      <c r="AE9" s="380">
        <f t="shared" si="0"/>
        <v>-54.214763877090988</v>
      </c>
      <c r="AF9" s="328">
        <f t="shared" ref="AF9:AF38" si="3">AE9+0.00001*Y9</f>
        <v>-54.214743877090989</v>
      </c>
      <c r="AG9" s="328">
        <f t="shared" ref="AG9:AG38" si="4">RANK(AF9,AF$8:AF$38)</f>
        <v>31</v>
      </c>
      <c r="AH9" s="333" t="str">
        <f t="shared" ref="AH9:AH38" si="5">VLOOKUP(MATCH(Y9,AG$8:AG$38,0),$Y$8:$AF$38,2)</f>
        <v>Cardinia</v>
      </c>
      <c r="AI9" s="334">
        <f t="shared" ref="AI9:AI38" si="6">VLOOKUP(MATCH(Y9,AG$8:AG$38,0),$Y$8:$AF$38,8)</f>
        <v>45.867847731688144</v>
      </c>
      <c r="AJ9" s="287"/>
    </row>
    <row r="10" spans="1:36">
      <c r="C10" s="385" t="str">
        <f>INDEX('Data (2)'!B5:B36,E4)</f>
        <v>Greater Dandenong</v>
      </c>
      <c r="D10" s="386" t="str">
        <f>INDEX('Data (2)'!B5:B36,E6)</f>
        <v>Nillumbik</v>
      </c>
      <c r="E10" s="317"/>
      <c r="F10" s="317"/>
      <c r="P10" s="287"/>
      <c r="Q10" s="287"/>
      <c r="R10" s="287"/>
      <c r="S10" s="287"/>
      <c r="T10" s="287"/>
      <c r="U10" s="287"/>
      <c r="V10" s="287"/>
      <c r="W10" s="287"/>
      <c r="X10" s="383" t="s">
        <v>1467</v>
      </c>
      <c r="Y10" s="328">
        <v>3</v>
      </c>
      <c r="Z10" s="381" t="s">
        <v>111</v>
      </c>
      <c r="AA10" s="380">
        <f>VLOOKUP($AC$5*37-37+$Y10,'Data (2)'!$A$5:$AC$73,2+$Y$3)</f>
        <v>32871972.455756791</v>
      </c>
      <c r="AB10" s="380">
        <f>VLOOKUP($AC$5*37-37+$Y10,'Data (2)'!$A$5:$AC$73,2+$AA$3)</f>
        <v>20450974.239999998</v>
      </c>
      <c r="AC10" s="380">
        <f t="shared" si="1"/>
        <v>-12420998.215756793</v>
      </c>
      <c r="AD10" s="380">
        <f t="shared" si="2"/>
        <v>-37.785983887868383</v>
      </c>
      <c r="AE10" s="380">
        <f t="shared" si="0"/>
        <v>-37.785983887868383</v>
      </c>
      <c r="AF10" s="328">
        <f t="shared" si="3"/>
        <v>-37.785953887868381</v>
      </c>
      <c r="AG10" s="328">
        <f t="shared" si="4"/>
        <v>16</v>
      </c>
      <c r="AH10" s="333" t="str">
        <f t="shared" si="5"/>
        <v>Wyndham</v>
      </c>
      <c r="AI10" s="334">
        <f t="shared" si="6"/>
        <v>19.093693301066089</v>
      </c>
      <c r="AJ10" s="287"/>
    </row>
    <row r="11" spans="1:36">
      <c r="A11" s="295">
        <v>1</v>
      </c>
      <c r="B11" s="335" t="s">
        <v>1438</v>
      </c>
      <c r="C11" s="320">
        <f>VLOOKUP($E$4+$E$8*37-37,'Data (2)'!$A$5:$AB$73,2+$A11)/1000000</f>
        <v>24.830746030546621</v>
      </c>
      <c r="D11" s="321">
        <f>VLOOKUP($E$6+$E$8*37-37,'Data (2)'!$A$5:$AB$73,2+$A11)/1000000</f>
        <v>0</v>
      </c>
      <c r="E11" s="317"/>
      <c r="F11" s="317"/>
      <c r="P11" s="287"/>
      <c r="Q11" s="287"/>
      <c r="R11" s="287"/>
      <c r="S11" s="287"/>
      <c r="T11" s="287"/>
      <c r="U11" s="287"/>
      <c r="V11" s="287"/>
      <c r="W11" s="287"/>
      <c r="X11" s="331"/>
      <c r="Y11" s="328">
        <v>4</v>
      </c>
      <c r="Z11" s="379" t="s">
        <v>112</v>
      </c>
      <c r="AA11" s="380">
        <f>VLOOKUP($AC$5*37-37+$Y11,'Data (2)'!$A$5:$AC$73,2+$Y$3)</f>
        <v>162947296.02381629</v>
      </c>
      <c r="AB11" s="380">
        <f>VLOOKUP($AC$5*37-37+$Y11,'Data (2)'!$A$5:$AC$73,2+$AA$3)</f>
        <v>142904247.84</v>
      </c>
      <c r="AC11" s="380">
        <f t="shared" si="1"/>
        <v>-20043048.183816284</v>
      </c>
      <c r="AD11" s="380">
        <f t="shared" si="2"/>
        <v>-12.300325732859539</v>
      </c>
      <c r="AE11" s="380">
        <f t="shared" si="0"/>
        <v>-12.300325732859539</v>
      </c>
      <c r="AF11" s="328">
        <f t="shared" si="3"/>
        <v>-12.300285732859539</v>
      </c>
      <c r="AG11" s="328">
        <f t="shared" si="4"/>
        <v>7</v>
      </c>
      <c r="AH11" s="333" t="str">
        <f t="shared" si="5"/>
        <v>Casey</v>
      </c>
      <c r="AI11" s="334">
        <f t="shared" si="6"/>
        <v>-7.5694458263181623</v>
      </c>
      <c r="AJ11" s="287"/>
    </row>
    <row r="12" spans="1:36">
      <c r="A12" s="295">
        <v>2</v>
      </c>
      <c r="B12" s="335" t="s">
        <v>1439</v>
      </c>
      <c r="C12" s="336">
        <f>VLOOKUP($E$4+$E$8*37-37,'Data (2)'!$A$5:$AB$73,2+$A12)/1000000</f>
        <v>64.257652897314372</v>
      </c>
      <c r="D12" s="337">
        <f>VLOOKUP($E$6+$E$8*37-37,'Data (2)'!$A$5:$AB$73,2+$A12)/1000000</f>
        <v>0.90439532385466037</v>
      </c>
      <c r="E12" s="317"/>
      <c r="F12" s="317"/>
      <c r="P12" s="287"/>
      <c r="Q12" s="287"/>
      <c r="R12" s="287"/>
      <c r="S12" s="287"/>
      <c r="T12" s="287"/>
      <c r="U12" s="287"/>
      <c r="V12" s="287"/>
      <c r="W12" s="287"/>
      <c r="X12" s="331"/>
      <c r="Y12" s="328">
        <v>5</v>
      </c>
      <c r="Z12" s="379" t="s">
        <v>115</v>
      </c>
      <c r="AA12" s="380">
        <f>VLOOKUP($AC$5*37-37+$Y12,'Data (2)'!$A$5:$AC$73,2+$Y$3)</f>
        <v>19569190.173492886</v>
      </c>
      <c r="AB12" s="380">
        <f>VLOOKUP($AC$5*37-37+$Y12,'Data (2)'!$A$5:$AC$73,2+$AA$3)</f>
        <v>28545146.739999995</v>
      </c>
      <c r="AC12" s="380">
        <f t="shared" si="1"/>
        <v>8975956.5665071085</v>
      </c>
      <c r="AD12" s="380">
        <f t="shared" si="2"/>
        <v>45.867797731688142</v>
      </c>
      <c r="AE12" s="380">
        <f t="shared" si="0"/>
        <v>45.867797731688142</v>
      </c>
      <c r="AF12" s="328">
        <f t="shared" si="3"/>
        <v>45.867847731688144</v>
      </c>
      <c r="AG12" s="328">
        <f t="shared" si="4"/>
        <v>2</v>
      </c>
      <c r="AH12" s="333" t="str">
        <f t="shared" si="5"/>
        <v>Whittlesea</v>
      </c>
      <c r="AI12" s="334">
        <f t="shared" si="6"/>
        <v>-10.426494858470093</v>
      </c>
      <c r="AJ12" s="287"/>
    </row>
    <row r="13" spans="1:36">
      <c r="A13" s="295">
        <v>3</v>
      </c>
      <c r="B13" s="335" t="s">
        <v>1440</v>
      </c>
      <c r="C13" s="336">
        <f>VLOOKUP($E$4+$E$8*37-37,'Data (2)'!$A$5:$AB$73,2+$A13)/1000000</f>
        <v>83.123574371951221</v>
      </c>
      <c r="D13" s="337">
        <f>VLOOKUP($E$6+$E$8*37-37,'Data (2)'!$A$5:$AB$73,2+$A13)/1000000</f>
        <v>3.427647974085366</v>
      </c>
      <c r="E13" s="317"/>
      <c r="F13" s="317"/>
      <c r="P13" s="287"/>
      <c r="Q13" s="287"/>
      <c r="R13" s="287"/>
      <c r="S13" s="287"/>
      <c r="T13" s="287"/>
      <c r="U13" s="287"/>
      <c r="V13" s="287"/>
      <c r="W13" s="287"/>
      <c r="X13" s="331"/>
      <c r="Y13" s="328">
        <v>6</v>
      </c>
      <c r="Z13" s="381" t="s">
        <v>116</v>
      </c>
      <c r="AA13" s="380">
        <f>VLOOKUP($AC$5*37-37+$Y13,'Data (2)'!$A$5:$AC$73,2+$Y$3)</f>
        <v>143200166.93980595</v>
      </c>
      <c r="AB13" s="380">
        <f>VLOOKUP($AC$5*37-37+$Y13,'Data (2)'!$A$5:$AC$73,2+$AA$3)</f>
        <v>132360621.96000001</v>
      </c>
      <c r="AC13" s="380">
        <f t="shared" si="1"/>
        <v>-10839544.979805946</v>
      </c>
      <c r="AD13" s="380">
        <f t="shared" si="2"/>
        <v>-7.5695058263181627</v>
      </c>
      <c r="AE13" s="380">
        <f t="shared" si="0"/>
        <v>-7.5695058263181627</v>
      </c>
      <c r="AF13" s="328">
        <f t="shared" si="3"/>
        <v>-7.5694458263181623</v>
      </c>
      <c r="AG13" s="328">
        <f t="shared" si="4"/>
        <v>4</v>
      </c>
      <c r="AH13" s="333" t="str">
        <f t="shared" si="5"/>
        <v>Hume</v>
      </c>
      <c r="AI13" s="334">
        <f t="shared" si="6"/>
        <v>-10.911604726058517</v>
      </c>
      <c r="AJ13" s="287"/>
    </row>
    <row r="14" spans="1:36">
      <c r="A14" s="295">
        <v>4</v>
      </c>
      <c r="B14" s="335" t="s">
        <v>1441</v>
      </c>
      <c r="C14" s="336">
        <f>VLOOKUP($E$4+$E$8*37-37,'Data (2)'!$A$5:$AB$73,2+$A14)/1000000</f>
        <v>102.91035801337296</v>
      </c>
      <c r="D14" s="337">
        <f>VLOOKUP($E$6+$E$8*37-37,'Data (2)'!$A$5:$AB$73,2+$A14)/1000000</f>
        <v>4.1892683417533432</v>
      </c>
      <c r="E14" s="317"/>
      <c r="F14" s="317"/>
      <c r="P14" s="287"/>
      <c r="Q14" s="287"/>
      <c r="R14" s="287"/>
      <c r="S14" s="287"/>
      <c r="T14" s="287"/>
      <c r="U14" s="287"/>
      <c r="V14" s="287"/>
      <c r="W14" s="287"/>
      <c r="X14" s="331"/>
      <c r="Y14" s="328">
        <v>7</v>
      </c>
      <c r="Z14" s="379" t="s">
        <v>120</v>
      </c>
      <c r="AA14" s="380">
        <f>VLOOKUP($AC$5*37-37+$Y14,'Data (2)'!$A$5:$AC$73,2+$Y$3)</f>
        <v>139915527.21087968</v>
      </c>
      <c r="AB14" s="380">
        <f>VLOOKUP($AC$5*37-37+$Y14,'Data (2)'!$A$5:$AC$73,2+$AA$3)</f>
        <v>81576110.090000004</v>
      </c>
      <c r="AC14" s="380">
        <f t="shared" si="1"/>
        <v>-58339417.12087968</v>
      </c>
      <c r="AD14" s="380">
        <f t="shared" si="2"/>
        <v>-41.696170742330068</v>
      </c>
      <c r="AE14" s="380">
        <f t="shared" si="0"/>
        <v>-41.696170742330068</v>
      </c>
      <c r="AF14" s="328">
        <f t="shared" si="3"/>
        <v>-41.696100742330067</v>
      </c>
      <c r="AG14" s="328">
        <f t="shared" si="4"/>
        <v>21</v>
      </c>
      <c r="AH14" s="333" t="str">
        <f t="shared" si="5"/>
        <v>Brimbank</v>
      </c>
      <c r="AI14" s="334">
        <f t="shared" si="6"/>
        <v>-12.300285732859539</v>
      </c>
      <c r="AJ14" s="287"/>
    </row>
    <row r="15" spans="1:36">
      <c r="A15" s="295">
        <v>5</v>
      </c>
      <c r="B15" s="335" t="s">
        <v>1442</v>
      </c>
      <c r="C15" s="336">
        <f>VLOOKUP($E$4+$E$8*37-37,'Data (2)'!$A$5:$AB$73,2+$A15)/1000000</f>
        <v>109.88931604209749</v>
      </c>
      <c r="D15" s="337">
        <f>VLOOKUP($E$6+$E$8*37-37,'Data (2)'!$A$5:$AB$73,2+$A15)/1000000</f>
        <v>5.5048820300738548</v>
      </c>
      <c r="E15" s="317"/>
      <c r="F15" s="317"/>
      <c r="P15" s="287"/>
      <c r="Q15" s="287"/>
      <c r="R15" s="287"/>
      <c r="S15" s="287"/>
      <c r="T15" s="287"/>
      <c r="U15" s="287"/>
      <c r="V15" s="287"/>
      <c r="W15" s="287"/>
      <c r="X15" s="331"/>
      <c r="Y15" s="328">
        <v>8</v>
      </c>
      <c r="Z15" s="379" t="s">
        <v>122</v>
      </c>
      <c r="AA15" s="380">
        <f>VLOOKUP($AC$5*37-37+$Y15,'Data (2)'!$A$5:$AC$73,2+$Y$3)</f>
        <v>99209673.331203103</v>
      </c>
      <c r="AB15" s="380">
        <f>VLOOKUP($AC$5*37-37+$Y15,'Data (2)'!$A$5:$AC$73,2+$AA$3)</f>
        <v>62253454.899999991</v>
      </c>
      <c r="AC15" s="380">
        <f t="shared" si="1"/>
        <v>-36956218.431203112</v>
      </c>
      <c r="AD15" s="380">
        <f t="shared" si="2"/>
        <v>-37.250620015477622</v>
      </c>
      <c r="AE15" s="380">
        <f t="shared" si="0"/>
        <v>-37.250620015477622</v>
      </c>
      <c r="AF15" s="328">
        <f t="shared" si="3"/>
        <v>-37.250540015477625</v>
      </c>
      <c r="AG15" s="328">
        <f t="shared" si="4"/>
        <v>15</v>
      </c>
      <c r="AH15" s="333" t="str">
        <f t="shared" si="5"/>
        <v>Greater Dandenong</v>
      </c>
      <c r="AI15" s="334">
        <f t="shared" si="6"/>
        <v>-26.318467372806595</v>
      </c>
      <c r="AJ15" s="287"/>
    </row>
    <row r="16" spans="1:36">
      <c r="A16" s="295">
        <v>6</v>
      </c>
      <c r="B16" s="335" t="s">
        <v>1443</v>
      </c>
      <c r="C16" s="336">
        <f>VLOOKUP($E$4+$E$8*37-37,'Data (2)'!$A$5:$AB$73,2+$A16)/1000000</f>
        <v>127.30267035588233</v>
      </c>
      <c r="D16" s="337">
        <f>VLOOKUP($E$6+$E$8*37-37,'Data (2)'!$A$5:$AB$73,2+$A16)/1000000</f>
        <v>12.388762007794117</v>
      </c>
      <c r="E16" s="317"/>
      <c r="F16" s="317"/>
      <c r="P16" s="287"/>
      <c r="Q16" s="287"/>
      <c r="R16" s="287"/>
      <c r="S16" s="287"/>
      <c r="T16" s="287"/>
      <c r="U16" s="287"/>
      <c r="V16" s="287"/>
      <c r="W16" s="287"/>
      <c r="X16" s="331"/>
      <c r="Y16" s="328">
        <v>9</v>
      </c>
      <c r="Z16" s="379" t="s">
        <v>124</v>
      </c>
      <c r="AA16" s="380">
        <f>VLOOKUP($AC$5*37-37+$Y16,'Data (2)'!$A$5:$AC$73,2+$Y$3)</f>
        <v>120055404.3739845</v>
      </c>
      <c r="AB16" s="380">
        <f>VLOOKUP($AC$5*37-37+$Y16,'Data (2)'!$A$5:$AC$73,2+$AA$3)</f>
        <v>74244676.719999999</v>
      </c>
      <c r="AC16" s="380">
        <f t="shared" si="1"/>
        <v>-45810727.653984502</v>
      </c>
      <c r="AD16" s="380">
        <f t="shared" si="2"/>
        <v>-38.157988716009434</v>
      </c>
      <c r="AE16" s="380">
        <f t="shared" si="0"/>
        <v>-38.157988716009434</v>
      </c>
      <c r="AF16" s="328">
        <f t="shared" si="3"/>
        <v>-38.157898716009434</v>
      </c>
      <c r="AG16" s="328">
        <f t="shared" si="4"/>
        <v>18</v>
      </c>
      <c r="AH16" s="333" t="str">
        <f t="shared" si="5"/>
        <v>Melbourne</v>
      </c>
      <c r="AI16" s="334">
        <f t="shared" si="6"/>
        <v>-27.746183856289953</v>
      </c>
      <c r="AJ16" s="287"/>
    </row>
    <row r="17" spans="1:36">
      <c r="A17" s="295">
        <v>7</v>
      </c>
      <c r="B17" s="335" t="s">
        <v>1444</v>
      </c>
      <c r="C17" s="336">
        <f>VLOOKUP($E$4+$E$8*37-37,'Data (2)'!$A$5:$AB$73,2+$A17)/1000000</f>
        <v>141.36159236443146</v>
      </c>
      <c r="D17" s="337">
        <f>VLOOKUP($E$6+$E$8*37-37,'Data (2)'!$A$5:$AB$73,2+$A17)/1000000</f>
        <v>15.390695122448982</v>
      </c>
      <c r="E17" s="317"/>
      <c r="F17" s="317"/>
      <c r="P17" s="287"/>
      <c r="Q17" s="287"/>
      <c r="R17" s="287"/>
      <c r="S17" s="287"/>
      <c r="T17" s="287"/>
      <c r="U17" s="287"/>
      <c r="V17" s="287"/>
      <c r="W17" s="287"/>
      <c r="X17" s="331"/>
      <c r="Y17" s="328">
        <v>10</v>
      </c>
      <c r="Z17" s="379" t="s">
        <v>128</v>
      </c>
      <c r="AA17" s="380">
        <f>VLOOKUP($AC$5*37-37+$Y17,'Data (2)'!$A$5:$AC$73,2+$Y$3)</f>
        <v>161929367.65179819</v>
      </c>
      <c r="AB17" s="380">
        <f>VLOOKUP($AC$5*37-37+$Y17,'Data (2)'!$A$5:$AC$73,2+$AA$3)</f>
        <v>119311877.92999999</v>
      </c>
      <c r="AC17" s="380">
        <f t="shared" si="1"/>
        <v>-42617489.721798196</v>
      </c>
      <c r="AD17" s="380">
        <f t="shared" si="2"/>
        <v>-26.318567372806594</v>
      </c>
      <c r="AE17" s="380">
        <f t="shared" si="0"/>
        <v>-26.318567372806594</v>
      </c>
      <c r="AF17" s="328">
        <f t="shared" si="3"/>
        <v>-26.318467372806595</v>
      </c>
      <c r="AG17" s="328">
        <f t="shared" si="4"/>
        <v>8</v>
      </c>
      <c r="AH17" s="333" t="str">
        <f t="shared" si="5"/>
        <v>Mornington Pen.</v>
      </c>
      <c r="AI17" s="334">
        <f t="shared" si="6"/>
        <v>-29.349085911961904</v>
      </c>
      <c r="AJ17" s="287"/>
    </row>
    <row r="18" spans="1:36">
      <c r="A18" s="295">
        <v>8</v>
      </c>
      <c r="B18" s="335" t="s">
        <v>1445</v>
      </c>
      <c r="C18" s="336">
        <f>VLOOKUP($E$4+$E$8*37-37,'Data (2)'!$A$5:$AB$73,2+$A18)/1000000</f>
        <v>148.82024899228489</v>
      </c>
      <c r="D18" s="337">
        <f>VLOOKUP($E$6+$E$8*37-37,'Data (2)'!$A$5:$AB$73,2+$A18)/1000000</f>
        <v>17.9847142361354</v>
      </c>
      <c r="E18" s="317"/>
      <c r="F18" s="317"/>
      <c r="P18" s="287"/>
      <c r="Q18" s="287"/>
      <c r="R18" s="287"/>
      <c r="S18" s="287"/>
      <c r="T18" s="287"/>
      <c r="U18" s="287"/>
      <c r="V18" s="287"/>
      <c r="W18" s="287"/>
      <c r="X18" s="331"/>
      <c r="Y18" s="328">
        <v>11</v>
      </c>
      <c r="Z18" s="379" t="s">
        <v>133</v>
      </c>
      <c r="AA18" s="380">
        <f>VLOOKUP($AC$5*37-37+$Y18,'Data (2)'!$A$5:$AC$73,2+$Y$3)</f>
        <v>71424734.270530403</v>
      </c>
      <c r="AB18" s="380">
        <f>VLOOKUP($AC$5*37-37+$Y18,'Data (2)'!$A$5:$AC$73,2+$AA$3)</f>
        <v>47042973.649999999</v>
      </c>
      <c r="AC18" s="380">
        <f t="shared" si="1"/>
        <v>-24381760.620530404</v>
      </c>
      <c r="AD18" s="380">
        <f t="shared" si="2"/>
        <v>-34.136298677964049</v>
      </c>
      <c r="AE18" s="380">
        <f t="shared" si="0"/>
        <v>-34.136298677964049</v>
      </c>
      <c r="AF18" s="328">
        <f t="shared" si="3"/>
        <v>-34.13618867796405</v>
      </c>
      <c r="AG18" s="328">
        <f t="shared" si="4"/>
        <v>11</v>
      </c>
      <c r="AH18" s="333" t="str">
        <f t="shared" si="5"/>
        <v>Hobsons Bay</v>
      </c>
      <c r="AI18" s="334">
        <f t="shared" si="6"/>
        <v>-34.13618867796405</v>
      </c>
      <c r="AJ18" s="287"/>
    </row>
    <row r="19" spans="1:36">
      <c r="A19" s="295">
        <v>9</v>
      </c>
      <c r="B19" s="335" t="s">
        <v>1446</v>
      </c>
      <c r="C19" s="336">
        <f>VLOOKUP($E$4+$E$8*37-37,'Data (2)'!$A$5:$AB$73,2+$A19)/1000000</f>
        <v>154.00062925565913</v>
      </c>
      <c r="D19" s="337">
        <f>VLOOKUP($E$6+$E$8*37-37,'Data (2)'!$A$5:$AB$73,2+$A19)/1000000</f>
        <v>17.413307824234355</v>
      </c>
      <c r="E19" s="317"/>
      <c r="F19" s="317"/>
      <c r="P19" s="287"/>
      <c r="Q19" s="287"/>
      <c r="R19" s="287"/>
      <c r="S19" s="287"/>
      <c r="T19" s="287"/>
      <c r="U19" s="287"/>
      <c r="V19" s="287"/>
      <c r="W19" s="287"/>
      <c r="X19" s="331"/>
      <c r="Y19" s="328">
        <v>12</v>
      </c>
      <c r="Z19" s="379" t="s">
        <v>135</v>
      </c>
      <c r="AA19" s="380">
        <f>VLOOKUP($AC$5*37-37+$Y19,'Data (2)'!$A$5:$AC$73,2+$Y$3)</f>
        <v>125376648.87611903</v>
      </c>
      <c r="AB19" s="380">
        <f>VLOOKUP($AC$5*37-37+$Y19,'Data (2)'!$A$5:$AC$73,2+$AA$3)</f>
        <v>111695894.07999998</v>
      </c>
      <c r="AC19" s="380">
        <f t="shared" si="1"/>
        <v>-13680754.796119049</v>
      </c>
      <c r="AD19" s="380">
        <f t="shared" si="2"/>
        <v>-10.911724726058518</v>
      </c>
      <c r="AE19" s="380">
        <f t="shared" si="0"/>
        <v>-10.911724726058518</v>
      </c>
      <c r="AF19" s="328">
        <f t="shared" si="3"/>
        <v>-10.911604726058517</v>
      </c>
      <c r="AG19" s="328">
        <f t="shared" si="4"/>
        <v>6</v>
      </c>
      <c r="AH19" s="333" t="str">
        <f t="shared" si="5"/>
        <v>Moonee Valley</v>
      </c>
      <c r="AI19" s="334">
        <f t="shared" si="6"/>
        <v>-36.118374793574297</v>
      </c>
      <c r="AJ19" s="287"/>
    </row>
    <row r="20" spans="1:36">
      <c r="A20" s="295">
        <v>10</v>
      </c>
      <c r="B20" s="335" t="s">
        <v>1447</v>
      </c>
      <c r="C20" s="336">
        <f>VLOOKUP($E$4+$E$8*37-37,'Data (2)'!$A$5:$AB$73,2+$A20)/1000000</f>
        <v>161.9293676517982</v>
      </c>
      <c r="D20" s="337">
        <f>VLOOKUP($E$6+$E$8*37-37,'Data (2)'!$A$5:$AB$73,2+$A20)/1000000</f>
        <v>17.316598869391981</v>
      </c>
      <c r="E20" s="317"/>
      <c r="F20" s="317"/>
      <c r="P20" s="287"/>
      <c r="Q20" s="287"/>
      <c r="R20" s="287"/>
      <c r="S20" s="287"/>
      <c r="T20" s="287"/>
      <c r="U20" s="287"/>
      <c r="V20" s="287"/>
      <c r="W20" s="287"/>
      <c r="X20" s="331"/>
      <c r="Y20" s="328">
        <v>13</v>
      </c>
      <c r="Z20" s="379" t="s">
        <v>137</v>
      </c>
      <c r="AA20" s="380">
        <f>VLOOKUP($AC$5*37-37+$Y20,'Data (2)'!$A$5:$AC$73,2+$Y$3)</f>
        <v>136495168.4166753</v>
      </c>
      <c r="AB20" s="380">
        <f>VLOOKUP($AC$5*37-37+$Y20,'Data (2)'!$A$5:$AC$73,2+$AA$3)</f>
        <v>85701350.430000007</v>
      </c>
      <c r="AC20" s="380">
        <f t="shared" si="1"/>
        <v>-50793817.986675292</v>
      </c>
      <c r="AD20" s="380">
        <f t="shared" si="2"/>
        <v>-37.212905464622978</v>
      </c>
      <c r="AE20" s="380">
        <f t="shared" si="0"/>
        <v>-37.212905464622978</v>
      </c>
      <c r="AF20" s="328">
        <f t="shared" si="3"/>
        <v>-37.212775464622979</v>
      </c>
      <c r="AG20" s="328">
        <f t="shared" si="4"/>
        <v>14</v>
      </c>
      <c r="AH20" s="333" t="str">
        <f t="shared" si="5"/>
        <v>Maroondah</v>
      </c>
      <c r="AI20" s="334">
        <f t="shared" si="6"/>
        <v>-36.708012048891014</v>
      </c>
      <c r="AJ20" s="287"/>
    </row>
    <row r="21" spans="1:36">
      <c r="A21" s="295">
        <v>11</v>
      </c>
      <c r="B21" s="335" t="s">
        <v>1448</v>
      </c>
      <c r="C21" s="336">
        <f>VLOOKUP($E$4+$E$8*37-37,'Data (2)'!$A$5:$AB$73,2+$A21)/1000000</f>
        <v>139.76440721326634</v>
      </c>
      <c r="D21" s="337">
        <f>VLOOKUP($E$6+$E$8*37-37,'Data (2)'!$A$5:$AB$73,2+$A21)/1000000</f>
        <v>14.762820206570353</v>
      </c>
      <c r="E21" s="317"/>
      <c r="F21" s="317"/>
      <c r="P21" s="287"/>
      <c r="Q21" s="287"/>
      <c r="R21" s="287"/>
      <c r="S21" s="287"/>
      <c r="T21" s="287"/>
      <c r="U21" s="287"/>
      <c r="V21" s="287"/>
      <c r="W21" s="287"/>
      <c r="X21" s="331"/>
      <c r="Y21" s="328">
        <v>14</v>
      </c>
      <c r="Z21" s="379" t="s">
        <v>138</v>
      </c>
      <c r="AA21" s="380">
        <f>VLOOKUP($AC$5*37-37+$Y21,'Data (2)'!$A$5:$AC$73,2+$Y$3)</f>
        <v>139431764.8070375</v>
      </c>
      <c r="AB21" s="380">
        <f>VLOOKUP($AC$5*37-37+$Y21,'Data (2)'!$A$5:$AC$73,2+$AA$3)</f>
        <v>73890071.239999995</v>
      </c>
      <c r="AC21" s="380">
        <f t="shared" si="1"/>
        <v>-65541693.567037508</v>
      </c>
      <c r="AD21" s="380">
        <f t="shared" si="2"/>
        <v>-47.006285589042072</v>
      </c>
      <c r="AE21" s="380">
        <f t="shared" si="0"/>
        <v>-47.006285589042072</v>
      </c>
      <c r="AF21" s="328">
        <f t="shared" si="3"/>
        <v>-47.00614558904207</v>
      </c>
      <c r="AG21" s="328">
        <f t="shared" si="4"/>
        <v>29</v>
      </c>
      <c r="AH21" s="333" t="str">
        <f t="shared" si="5"/>
        <v>Kingston</v>
      </c>
      <c r="AI21" s="334">
        <f t="shared" si="6"/>
        <v>-37.212775464622979</v>
      </c>
      <c r="AJ21" s="287"/>
    </row>
    <row r="22" spans="1:36">
      <c r="A22" s="295">
        <v>12</v>
      </c>
      <c r="B22" s="335" t="s">
        <v>1449</v>
      </c>
      <c r="C22" s="336">
        <f>VLOOKUP($E$4+$E$8*37-37,'Data (2)'!$A$5:$AB$73,2+$A22)/1000000</f>
        <v>134.54586041805658</v>
      </c>
      <c r="D22" s="337">
        <f>VLOOKUP($E$6+$E$8*37-37,'Data (2)'!$A$5:$AB$73,2+$A22)/1000000</f>
        <v>13.416326351512918</v>
      </c>
      <c r="E22" s="317"/>
      <c r="F22" s="317"/>
      <c r="P22" s="287"/>
      <c r="Q22" s="287"/>
      <c r="R22" s="287"/>
      <c r="S22" s="287"/>
      <c r="T22" s="287"/>
      <c r="U22" s="287"/>
      <c r="V22" s="287"/>
      <c r="W22" s="287"/>
      <c r="X22" s="331"/>
      <c r="Y22" s="328">
        <v>15</v>
      </c>
      <c r="Z22" s="379" t="s">
        <v>142</v>
      </c>
      <c r="AA22" s="380">
        <f>VLOOKUP($AC$5*37-37+$Y22,'Data (2)'!$A$5:$AC$73,2+$Y$3)</f>
        <v>97088148.83021991</v>
      </c>
      <c r="AB22" s="380">
        <f>VLOOKUP($AC$5*37-37+$Y22,'Data (2)'!$A$5:$AC$73,2+$AA$3)</f>
        <v>56358630.18999999</v>
      </c>
      <c r="AC22" s="380">
        <f t="shared" si="1"/>
        <v>-40729518.640219919</v>
      </c>
      <c r="AD22" s="380">
        <f t="shared" si="2"/>
        <v>-41.951071403621555</v>
      </c>
      <c r="AE22" s="380">
        <f t="shared" si="0"/>
        <v>-41.951071403621555</v>
      </c>
      <c r="AF22" s="328">
        <f t="shared" si="3"/>
        <v>-41.950921403621557</v>
      </c>
      <c r="AG22" s="328">
        <f t="shared" si="4"/>
        <v>22</v>
      </c>
      <c r="AH22" s="333" t="str">
        <f t="shared" si="5"/>
        <v>Frankston</v>
      </c>
      <c r="AI22" s="334">
        <f t="shared" si="6"/>
        <v>-37.250540015477625</v>
      </c>
      <c r="AJ22" s="287"/>
    </row>
    <row r="23" spans="1:36">
      <c r="A23" s="295">
        <v>13</v>
      </c>
      <c r="B23" s="335" t="s">
        <v>1450</v>
      </c>
      <c r="C23" s="336">
        <f>VLOOKUP($E$4+$E$8*37-37,'Data (2)'!$A$5:$AB$73,2+$A23)/1000000</f>
        <v>140.80791888104818</v>
      </c>
      <c r="D23" s="337">
        <f>VLOOKUP($E$6+$E$8*37-37,'Data (2)'!$A$5:$AB$73,2+$A23)/1000000</f>
        <v>13.832681707012048</v>
      </c>
      <c r="E23" s="317"/>
      <c r="F23" s="317"/>
      <c r="P23" s="287"/>
      <c r="Q23" s="287"/>
      <c r="R23" s="287"/>
      <c r="S23" s="287"/>
      <c r="T23" s="287"/>
      <c r="U23" s="287"/>
      <c r="V23" s="287"/>
      <c r="W23" s="287"/>
      <c r="X23" s="331"/>
      <c r="Y23" s="328">
        <v>16</v>
      </c>
      <c r="Z23" s="379" t="s">
        <v>144</v>
      </c>
      <c r="AA23" s="380">
        <f>VLOOKUP($AC$5*37-37+$Y23,'Data (2)'!$A$5:$AC$73,2+$Y$3)</f>
        <v>93065784.42499353</v>
      </c>
      <c r="AB23" s="380">
        <f>VLOOKUP($AC$5*37-37+$Y23,'Data (2)'!$A$5:$AC$73,2+$AA$3)</f>
        <v>57257924.75</v>
      </c>
      <c r="AC23" s="380">
        <f t="shared" si="1"/>
        <v>-35807859.67499353</v>
      </c>
      <c r="AD23" s="380">
        <f t="shared" si="2"/>
        <v>-38.475858658724263</v>
      </c>
      <c r="AE23" s="380">
        <f t="shared" si="0"/>
        <v>-38.475858658724263</v>
      </c>
      <c r="AF23" s="328">
        <f t="shared" si="3"/>
        <v>-38.475698658724262</v>
      </c>
      <c r="AG23" s="328">
        <f t="shared" si="4"/>
        <v>19</v>
      </c>
      <c r="AH23" s="333" t="str">
        <f t="shared" si="5"/>
        <v>Boroondara</v>
      </c>
      <c r="AI23" s="334">
        <f t="shared" si="6"/>
        <v>-37.785953887868381</v>
      </c>
      <c r="AJ23" s="287"/>
    </row>
    <row r="24" spans="1:36">
      <c r="A24" s="295">
        <v>14</v>
      </c>
      <c r="B24" s="335" t="s">
        <v>1451</v>
      </c>
      <c r="C24" s="336">
        <f>VLOOKUP($E$4+$E$8*37-37,'Data (2)'!$A$5:$AB$73,2+$A24)/1000000</f>
        <v>139.21113971457075</v>
      </c>
      <c r="D24" s="337">
        <f>VLOOKUP($E$6+$E$8*37-37,'Data (2)'!$A$5:$AB$73,2+$A24)/1000000</f>
        <v>13.554479992621811</v>
      </c>
      <c r="E24" s="317"/>
      <c r="F24" s="317"/>
      <c r="P24" s="287"/>
      <c r="Q24" s="287"/>
      <c r="R24" s="287"/>
      <c r="S24" s="287"/>
      <c r="T24" s="287"/>
      <c r="U24" s="287"/>
      <c r="V24" s="287"/>
      <c r="W24" s="287"/>
      <c r="X24" s="331"/>
      <c r="Y24" s="328">
        <v>17</v>
      </c>
      <c r="Z24" s="379" t="s">
        <v>145</v>
      </c>
      <c r="AA24" s="380">
        <f>VLOOKUP($AC$5*37-37+$Y24,'Data (2)'!$A$5:$AC$73,2+$Y$3)</f>
        <v>99320086.995381624</v>
      </c>
      <c r="AB24" s="380">
        <f>VLOOKUP($AC$5*37-37+$Y24,'Data (2)'!$A$5:$AC$73,2+$AA$3)</f>
        <v>62861488.650000006</v>
      </c>
      <c r="AC24" s="380">
        <f t="shared" si="1"/>
        <v>-36458598.345381618</v>
      </c>
      <c r="AD24" s="380">
        <f t="shared" si="2"/>
        <v>-36.708182048891011</v>
      </c>
      <c r="AE24" s="380">
        <f t="shared" si="0"/>
        <v>-36.708182048891011</v>
      </c>
      <c r="AF24" s="328">
        <f t="shared" si="3"/>
        <v>-36.708012048891014</v>
      </c>
      <c r="AG24" s="328">
        <f t="shared" si="4"/>
        <v>13</v>
      </c>
      <c r="AH24" s="333" t="str">
        <f t="shared" si="5"/>
        <v>Whitehorse</v>
      </c>
      <c r="AI24" s="334">
        <f t="shared" si="6"/>
        <v>-37.871210561404816</v>
      </c>
      <c r="AJ24" s="287"/>
    </row>
    <row r="25" spans="1:36">
      <c r="A25" s="295">
        <v>15</v>
      </c>
      <c r="B25" s="335" t="s">
        <v>1452</v>
      </c>
      <c r="C25" s="336">
        <f>VLOOKUP($E$4+$E$8*37-37,'Data (2)'!$A$5:$AB$73,2+$A25)/1000000</f>
        <v>141.84002632121729</v>
      </c>
      <c r="D25" s="337">
        <f>VLOOKUP($E$6+$E$8*37-37,'Data (2)'!$A$5:$AB$73,2+$A25)/1000000</f>
        <v>13.900682866905571</v>
      </c>
      <c r="E25" s="317"/>
      <c r="F25" s="317"/>
      <c r="P25" s="287"/>
      <c r="Q25" s="287"/>
      <c r="R25" s="287"/>
      <c r="S25" s="287"/>
      <c r="T25" s="287"/>
      <c r="U25" s="287"/>
      <c r="V25" s="287"/>
      <c r="W25" s="287"/>
      <c r="X25" s="331"/>
      <c r="Y25" s="328">
        <v>18</v>
      </c>
      <c r="Z25" s="379" t="s">
        <v>146</v>
      </c>
      <c r="AA25" s="380">
        <f>VLOOKUP($AC$5*37-37+$Y25,'Data (2)'!$A$5:$AC$73,2+$Y$3)</f>
        <v>116957340.97301422</v>
      </c>
      <c r="AB25" s="380">
        <f>VLOOKUP($AC$5*37-37+$Y25,'Data (2)'!$A$5:$AC$73,2+$AA$3)</f>
        <v>84505931.590000004</v>
      </c>
      <c r="AC25" s="380">
        <f t="shared" si="1"/>
        <v>-32451409.383014217</v>
      </c>
      <c r="AD25" s="380">
        <f t="shared" si="2"/>
        <v>-27.746363856289953</v>
      </c>
      <c r="AE25" s="380">
        <f t="shared" si="0"/>
        <v>-27.746363856289953</v>
      </c>
      <c r="AF25" s="328">
        <f t="shared" si="3"/>
        <v>-27.746183856289953</v>
      </c>
      <c r="AG25" s="328">
        <f t="shared" si="4"/>
        <v>9</v>
      </c>
      <c r="AH25" s="333" t="str">
        <f t="shared" si="5"/>
        <v>Glen Eira</v>
      </c>
      <c r="AI25" s="334">
        <f t="shared" si="6"/>
        <v>-38.157898716009434</v>
      </c>
      <c r="AJ25" s="287"/>
    </row>
    <row r="26" spans="1:36">
      <c r="A26" s="295">
        <v>16</v>
      </c>
      <c r="B26" s="335" t="s">
        <v>1453</v>
      </c>
      <c r="C26" s="336">
        <f>VLOOKUP($E$4+$E$8*37-37,'Data (2)'!$A$5:$AB$73,2+$A26)/1000000</f>
        <v>143.25113475720045</v>
      </c>
      <c r="D26" s="337">
        <f>VLOOKUP($E$6+$E$8*37-37,'Data (2)'!$A$5:$AB$73,2+$A26)/1000000</f>
        <v>13.169977831328975</v>
      </c>
      <c r="E26" s="317"/>
      <c r="F26" s="317"/>
      <c r="P26" s="287"/>
      <c r="Q26" s="287"/>
      <c r="R26" s="287"/>
      <c r="S26" s="287"/>
      <c r="T26" s="287"/>
      <c r="U26" s="287"/>
      <c r="V26" s="287"/>
      <c r="W26" s="287"/>
      <c r="X26" s="331"/>
      <c r="Y26" s="328">
        <v>19</v>
      </c>
      <c r="Z26" s="379" t="s">
        <v>147</v>
      </c>
      <c r="AA26" s="380">
        <f>VLOOKUP($AC$5*37-37+$Y26,'Data (2)'!$A$5:$AC$73,2+$Y$3)</f>
        <v>39299442.995316945</v>
      </c>
      <c r="AB26" s="380">
        <f>VLOOKUP($AC$5*37-37+$Y26,'Data (2)'!$A$5:$AC$73,2+$AA$3)</f>
        <v>67781774.819999993</v>
      </c>
      <c r="AC26" s="380">
        <f t="shared" si="1"/>
        <v>28482331.824683048</v>
      </c>
      <c r="AD26" s="380">
        <f t="shared" si="2"/>
        <v>72.4751539813862</v>
      </c>
      <c r="AE26" s="380">
        <f t="shared" si="0"/>
        <v>72.4751539813862</v>
      </c>
      <c r="AF26" s="328">
        <f t="shared" si="3"/>
        <v>72.475343981386203</v>
      </c>
      <c r="AG26" s="328">
        <f t="shared" si="4"/>
        <v>1</v>
      </c>
      <c r="AH26" s="333" t="str">
        <f t="shared" si="5"/>
        <v>Maribyrnong</v>
      </c>
      <c r="AI26" s="334">
        <f t="shared" si="6"/>
        <v>-38.475698658724262</v>
      </c>
      <c r="AJ26" s="287"/>
    </row>
    <row r="27" spans="1:36">
      <c r="A27" s="295">
        <v>17</v>
      </c>
      <c r="B27" s="335" t="s">
        <v>1454</v>
      </c>
      <c r="C27" s="336">
        <f>VLOOKUP($E$4+$E$8*37-37,'Data (2)'!$A$5:$AB$73,2+$A27)/1000000</f>
        <v>147.71886992872982</v>
      </c>
      <c r="D27" s="337">
        <f>VLOOKUP($E$6+$E$8*37-37,'Data (2)'!$A$5:$AB$73,2+$A27)/1000000</f>
        <v>13.274261672906349</v>
      </c>
      <c r="E27" s="317"/>
      <c r="F27" s="317"/>
      <c r="P27" s="287"/>
      <c r="Q27" s="287"/>
      <c r="R27" s="287"/>
      <c r="S27" s="287"/>
      <c r="T27" s="287"/>
      <c r="U27" s="287"/>
      <c r="V27" s="287"/>
      <c r="W27" s="287"/>
      <c r="X27" s="331"/>
      <c r="Y27" s="328">
        <v>20</v>
      </c>
      <c r="Z27" s="379" t="s">
        <v>151</v>
      </c>
      <c r="AA27" s="380">
        <f>VLOOKUP($AC$5*37-37+$Y27,'Data (2)'!$A$5:$AC$73,2+$Y$3)</f>
        <v>198186971.49904269</v>
      </c>
      <c r="AB27" s="380">
        <f>VLOOKUP($AC$5*37-37+$Y27,'Data (2)'!$A$5:$AC$73,2+$AA$3)</f>
        <v>110209894.94</v>
      </c>
      <c r="AC27" s="380">
        <f t="shared" si="1"/>
        <v>-87977076.559042692</v>
      </c>
      <c r="AD27" s="380">
        <f t="shared" si="2"/>
        <v>-44.390948554086791</v>
      </c>
      <c r="AE27" s="380">
        <f t="shared" si="0"/>
        <v>-44.390948554086791</v>
      </c>
      <c r="AF27" s="328">
        <f t="shared" si="3"/>
        <v>-44.390748554086791</v>
      </c>
      <c r="AG27" s="328">
        <f t="shared" si="4"/>
        <v>26</v>
      </c>
      <c r="AH27" s="333" t="str">
        <f t="shared" si="5"/>
        <v>Banyule</v>
      </c>
      <c r="AI27" s="334">
        <f t="shared" si="6"/>
        <v>-40.681398538313566</v>
      </c>
      <c r="AJ27" s="287"/>
    </row>
    <row r="28" spans="1:36">
      <c r="A28" s="295">
        <v>18</v>
      </c>
      <c r="B28" s="335" t="s">
        <v>1455</v>
      </c>
      <c r="C28" s="336">
        <f>VLOOKUP($E$4+$E$8*37-37,'Data (2)'!$A$5:$AB$73,2+$A28)/1000000</f>
        <v>135.89490051649273</v>
      </c>
      <c r="D28" s="337">
        <f>VLOOKUP($E$6+$E$8*37-37,'Data (2)'!$A$5:$AB$73,2+$A28)/1000000</f>
        <v>11.771383531430063</v>
      </c>
      <c r="E28" s="317"/>
      <c r="F28" s="317"/>
      <c r="P28" s="287"/>
      <c r="Q28" s="287"/>
      <c r="R28" s="287"/>
      <c r="S28" s="287"/>
      <c r="T28" s="287"/>
      <c r="U28" s="287"/>
      <c r="V28" s="287"/>
      <c r="W28" s="287"/>
      <c r="X28" s="331"/>
      <c r="Y28" s="328">
        <v>21</v>
      </c>
      <c r="Z28" s="379" t="s">
        <v>152</v>
      </c>
      <c r="AA28" s="380">
        <f>VLOOKUP($AC$5*37-37+$Y28,'Data (2)'!$A$5:$AC$73,2+$Y$3)</f>
        <v>121554537.12019403</v>
      </c>
      <c r="AB28" s="380">
        <f>VLOOKUP($AC$5*37-37+$Y28,'Data (2)'!$A$5:$AC$73,2+$AA$3)</f>
        <v>77650758.560000002</v>
      </c>
      <c r="AC28" s="380">
        <f t="shared" si="1"/>
        <v>-43903778.56019403</v>
      </c>
      <c r="AD28" s="380">
        <f t="shared" si="2"/>
        <v>-36.1185847935743</v>
      </c>
      <c r="AE28" s="380">
        <f t="shared" si="0"/>
        <v>-36.1185847935743</v>
      </c>
      <c r="AF28" s="328">
        <f t="shared" si="3"/>
        <v>-36.118374793574297</v>
      </c>
      <c r="AG28" s="328">
        <f t="shared" si="4"/>
        <v>12</v>
      </c>
      <c r="AH28" s="333" t="str">
        <f t="shared" si="5"/>
        <v>Darebin</v>
      </c>
      <c r="AI28" s="334">
        <f t="shared" si="6"/>
        <v>-41.696100742330067</v>
      </c>
      <c r="AJ28" s="287"/>
    </row>
    <row r="29" spans="1:36">
      <c r="A29" s="295">
        <v>19</v>
      </c>
      <c r="B29" s="335" t="s">
        <v>1456</v>
      </c>
      <c r="C29" s="336">
        <f>VLOOKUP($E$4+$E$8*37-37,'Data (2)'!$A$5:$AB$73,2+$A29)/1000000</f>
        <v>133.92982472153221</v>
      </c>
      <c r="D29" s="337">
        <f>VLOOKUP($E$6+$E$8*37-37,'Data (2)'!$A$5:$AB$73,2+$A29)/1000000</f>
        <v>11.135508774566533</v>
      </c>
      <c r="E29" s="317"/>
      <c r="F29" s="317"/>
      <c r="P29" s="287"/>
      <c r="Q29" s="287"/>
      <c r="R29" s="287"/>
      <c r="S29" s="287"/>
      <c r="T29" s="287"/>
      <c r="U29" s="287"/>
      <c r="V29" s="287"/>
      <c r="W29" s="287"/>
      <c r="X29" s="331"/>
      <c r="Y29" s="328">
        <v>22</v>
      </c>
      <c r="Z29" s="379" t="s">
        <v>154</v>
      </c>
      <c r="AA29" s="380">
        <f>VLOOKUP($AC$5*37-37+$Y29,'Data (2)'!$A$5:$AC$73,2+$Y$3)</f>
        <v>106662517.32795601</v>
      </c>
      <c r="AB29" s="380">
        <f>VLOOKUP($AC$5*37-37+$Y29,'Data (2)'!$A$5:$AC$73,2+$AA$3)</f>
        <v>61281700.849999994</v>
      </c>
      <c r="AC29" s="380">
        <f t="shared" si="1"/>
        <v>-45380816.477956012</v>
      </c>
      <c r="AD29" s="380">
        <f t="shared" si="2"/>
        <v>-42.54617049626092</v>
      </c>
      <c r="AE29" s="380">
        <f t="shared" si="0"/>
        <v>-42.54617049626092</v>
      </c>
      <c r="AF29" s="328">
        <f t="shared" si="3"/>
        <v>-42.545950496260922</v>
      </c>
      <c r="AG29" s="328">
        <f t="shared" si="4"/>
        <v>24</v>
      </c>
      <c r="AH29" s="333" t="str">
        <f t="shared" si="5"/>
        <v>Manningham</v>
      </c>
      <c r="AI29" s="334">
        <f t="shared" si="6"/>
        <v>-41.950921403621557</v>
      </c>
      <c r="AJ29" s="287"/>
    </row>
    <row r="30" spans="1:36">
      <c r="A30" s="295">
        <v>20</v>
      </c>
      <c r="B30" s="335" t="s">
        <v>1457</v>
      </c>
      <c r="C30" s="336">
        <f>VLOOKUP($E$4+$E$8*37-37,'Data (2)'!$A$5:$AB$73,2+$A30)/1000000</f>
        <v>132.66141379515935</v>
      </c>
      <c r="D30" s="337">
        <f>VLOOKUP($E$6+$E$8*37-37,'Data (2)'!$A$5:$AB$73,2+$A30)/1000000</f>
        <v>10.498544688675299</v>
      </c>
      <c r="E30" s="317"/>
      <c r="F30" s="317"/>
      <c r="P30" s="287"/>
      <c r="Q30" s="287"/>
      <c r="R30" s="287"/>
      <c r="S30" s="287"/>
      <c r="T30" s="287"/>
      <c r="U30" s="287"/>
      <c r="V30" s="287"/>
      <c r="W30" s="287"/>
      <c r="X30" s="331"/>
      <c r="Y30" s="328">
        <v>23</v>
      </c>
      <c r="Z30" s="379" t="s">
        <v>1360</v>
      </c>
      <c r="AA30" s="380">
        <f>VLOOKUP($AC$5*37-37+$Y30,'Data (2)'!$A$5:$AC$73,2+$Y$3)</f>
        <v>117985506.05133247</v>
      </c>
      <c r="AB30" s="380">
        <f>VLOOKUP($AC$5*37-37+$Y30,'Data (2)'!$A$5:$AC$73,2+$AA$3)</f>
        <v>83357567.149999976</v>
      </c>
      <c r="AC30" s="380">
        <f t="shared" si="1"/>
        <v>-34627938.901332498</v>
      </c>
      <c r="AD30" s="380">
        <f t="shared" si="2"/>
        <v>-29.349315911961902</v>
      </c>
      <c r="AE30" s="380">
        <f t="shared" si="0"/>
        <v>-29.349315911961902</v>
      </c>
      <c r="AF30" s="328">
        <f t="shared" si="3"/>
        <v>-29.349085911961904</v>
      </c>
      <c r="AG30" s="328">
        <f t="shared" si="4"/>
        <v>10</v>
      </c>
      <c r="AH30" s="333" t="str">
        <f t="shared" si="5"/>
        <v>Yarra Ranges</v>
      </c>
      <c r="AI30" s="334">
        <f t="shared" si="6"/>
        <v>-41.971925056515587</v>
      </c>
      <c r="AJ30" s="287"/>
    </row>
    <row r="31" spans="1:36">
      <c r="A31" s="295">
        <v>21</v>
      </c>
      <c r="B31" s="335" t="s">
        <v>1458</v>
      </c>
      <c r="C31" s="336">
        <f>VLOOKUP($E$4+$E$8*37-37,'Data (2)'!$A$5:$AB$73,2+$A31)/1000000</f>
        <v>120.69764354077974</v>
      </c>
      <c r="D31" s="337">
        <f>VLOOKUP($E$6+$E$8*37-37,'Data (2)'!$A$5:$AB$73,2+$A31)/1000000</f>
        <v>8.5705802116471741</v>
      </c>
      <c r="E31" s="317"/>
      <c r="F31" s="317"/>
      <c r="P31" s="287"/>
      <c r="Q31" s="287"/>
      <c r="R31" s="287"/>
      <c r="S31" s="287"/>
      <c r="T31" s="287"/>
      <c r="U31" s="287"/>
      <c r="V31" s="287"/>
      <c r="W31" s="287"/>
      <c r="X31" s="331"/>
      <c r="Y31" s="328">
        <v>24</v>
      </c>
      <c r="Z31" s="379" t="s">
        <v>159</v>
      </c>
      <c r="AA31" s="380">
        <f>VLOOKUP($AC$5*37-37+$Y31,'Data (2)'!$A$5:$AC$73,2+$Y$3)</f>
        <v>17316598.869391982</v>
      </c>
      <c r="AB31" s="380">
        <f>VLOOKUP($AC$5*37-37+$Y31,'Data (2)'!$A$5:$AC$73,2+$AA$3)</f>
        <v>9850088.2300000004</v>
      </c>
      <c r="AC31" s="380">
        <f t="shared" si="1"/>
        <v>-7466510.6393919811</v>
      </c>
      <c r="AD31" s="380">
        <f t="shared" si="2"/>
        <v>-43.117650848801716</v>
      </c>
      <c r="AE31" s="380">
        <f t="shared" si="0"/>
        <v>-43.117650848801716</v>
      </c>
      <c r="AF31" s="328">
        <f t="shared" si="3"/>
        <v>-43.117410848801718</v>
      </c>
      <c r="AG31" s="328">
        <f t="shared" si="4"/>
        <v>25</v>
      </c>
      <c r="AH31" s="333" t="str">
        <f t="shared" si="5"/>
        <v>Moreland</v>
      </c>
      <c r="AI31" s="334">
        <f t="shared" si="6"/>
        <v>-42.545950496260922</v>
      </c>
      <c r="AJ31" s="287"/>
    </row>
    <row r="32" spans="1:36">
      <c r="A32" s="295">
        <v>22</v>
      </c>
      <c r="B32" s="335" t="s">
        <v>1459</v>
      </c>
      <c r="C32" s="336">
        <f>VLOOKUP($E$4+$E$8*37-37,'Data (2)'!$A$5:$AB$73,2+$A32)/1000000</f>
        <v>117.83054775932953</v>
      </c>
      <c r="D32" s="337">
        <f>VLOOKUP($E$6+$E$8*37-37,'Data (2)'!$A$5:$AB$73,2+$A32)/1000000</f>
        <v>7.7903437417469306</v>
      </c>
      <c r="E32" s="317"/>
      <c r="F32" s="317"/>
      <c r="P32" s="287"/>
      <c r="Q32" s="287"/>
      <c r="R32" s="287"/>
      <c r="S32" s="287"/>
      <c r="T32" s="287"/>
      <c r="U32" s="287"/>
      <c r="V32" s="287"/>
      <c r="W32" s="287"/>
      <c r="X32" s="331"/>
      <c r="Y32" s="328">
        <v>25</v>
      </c>
      <c r="Z32" s="379" t="s">
        <v>161</v>
      </c>
      <c r="AA32" s="380">
        <f>VLOOKUP($AC$5*37-37+$Y32,'Data (2)'!$A$5:$AC$73,2+$Y$3)</f>
        <v>52612490.418809831</v>
      </c>
      <c r="AB32" s="380">
        <f>VLOOKUP($AC$5*37-37+$Y32,'Data (2)'!$A$5:$AC$73,2+$AA$3)</f>
        <v>28426650.629999999</v>
      </c>
      <c r="AC32" s="380">
        <f t="shared" si="1"/>
        <v>-24185839.788809832</v>
      </c>
      <c r="AD32" s="380">
        <f t="shared" si="2"/>
        <v>-45.969768008098313</v>
      </c>
      <c r="AE32" s="380">
        <f t="shared" si="0"/>
        <v>-45.969768008098313</v>
      </c>
      <c r="AF32" s="328">
        <f t="shared" si="3"/>
        <v>-45.969518008098312</v>
      </c>
      <c r="AG32" s="328">
        <f t="shared" si="4"/>
        <v>28</v>
      </c>
      <c r="AH32" s="333" t="str">
        <f t="shared" si="5"/>
        <v>Nillumbik</v>
      </c>
      <c r="AI32" s="334">
        <f t="shared" si="6"/>
        <v>-43.117410848801718</v>
      </c>
      <c r="AJ32" s="287"/>
    </row>
    <row r="33" spans="1:36">
      <c r="A33" s="295">
        <v>23</v>
      </c>
      <c r="B33" s="335" t="s">
        <v>1460</v>
      </c>
      <c r="C33" s="336">
        <f>VLOOKUP($E$4+$E$8*37-37,'Data (2)'!$A$5:$AB$73,2+$A33)/1000000</f>
        <v>123.77815545220356</v>
      </c>
      <c r="D33" s="337">
        <f>VLOOKUP($E$6+$E$8*37-37,'Data (2)'!$A$5:$AB$73,2+$A33)/1000000</f>
        <v>7.9493506223342667</v>
      </c>
      <c r="E33" s="317"/>
      <c r="F33" s="317"/>
      <c r="P33" s="287"/>
      <c r="Q33" s="287"/>
      <c r="R33" s="287"/>
      <c r="S33" s="287"/>
      <c r="T33" s="287"/>
      <c r="U33" s="287"/>
      <c r="V33" s="287"/>
      <c r="W33" s="287"/>
      <c r="X33" s="331"/>
      <c r="Y33" s="328">
        <v>26</v>
      </c>
      <c r="Z33" s="379" t="s">
        <v>166</v>
      </c>
      <c r="AA33" s="380">
        <f>VLOOKUP($AC$5*37-37+$Y33,'Data (2)'!$A$5:$AC$73,2+$Y$3)</f>
        <v>38717234.631875806</v>
      </c>
      <c r="AB33" s="380">
        <f>VLOOKUP($AC$5*37-37+$Y33,'Data (2)'!$A$5:$AC$73,2+$AA$3)</f>
        <v>19862345.299999997</v>
      </c>
      <c r="AC33" s="380">
        <f t="shared" si="1"/>
        <v>-18854889.331875809</v>
      </c>
      <c r="AD33" s="380">
        <f t="shared" si="2"/>
        <v>-48.698956707906568</v>
      </c>
      <c r="AE33" s="380">
        <f t="shared" si="0"/>
        <v>-48.698956707906568</v>
      </c>
      <c r="AF33" s="328">
        <f t="shared" si="3"/>
        <v>-48.698696707906571</v>
      </c>
      <c r="AG33" s="328">
        <f t="shared" si="4"/>
        <v>30</v>
      </c>
      <c r="AH33" s="333" t="str">
        <f t="shared" si="5"/>
        <v>Monash</v>
      </c>
      <c r="AI33" s="334">
        <f t="shared" si="6"/>
        <v>-44.390748554086791</v>
      </c>
      <c r="AJ33" s="287"/>
    </row>
    <row r="34" spans="1:36">
      <c r="A34" s="295">
        <v>24</v>
      </c>
      <c r="B34" s="335" t="s">
        <v>1461</v>
      </c>
      <c r="C34" s="336">
        <f>VLOOKUP($E$4+$E$8*37-37,'Data (2)'!$A$5:$AB$73,2+$A34)/1000000</f>
        <v>123.97967175040515</v>
      </c>
      <c r="D34" s="337">
        <f>VLOOKUP($E$6+$E$8*37-37,'Data (2)'!$A$5:$AB$73,2+$A34)/1000000</f>
        <v>8.609569651721916</v>
      </c>
      <c r="E34" s="317"/>
      <c r="F34" s="317"/>
      <c r="P34" s="287"/>
      <c r="Q34" s="287"/>
      <c r="R34" s="287"/>
      <c r="S34" s="287"/>
      <c r="T34" s="287"/>
      <c r="U34" s="287"/>
      <c r="V34" s="287"/>
      <c r="W34" s="287"/>
      <c r="X34" s="331"/>
      <c r="Y34" s="328">
        <v>27</v>
      </c>
      <c r="Z34" s="379" t="s">
        <v>38</v>
      </c>
      <c r="AA34" s="380">
        <f>VLOOKUP($AC$5*37-37+$Y34,'Data (2)'!$A$5:$AC$73,2+$Y$3)</f>
        <v>84978081.510827944</v>
      </c>
      <c r="AB34" s="380">
        <f>VLOOKUP($AC$5*37-37+$Y34,'Data (2)'!$A$5:$AC$73,2+$AA$3)</f>
        <v>52795623.890000001</v>
      </c>
      <c r="AC34" s="380">
        <f t="shared" si="1"/>
        <v>-32182457.620827943</v>
      </c>
      <c r="AD34" s="380">
        <f t="shared" si="2"/>
        <v>-37.871480561404816</v>
      </c>
      <c r="AE34" s="380">
        <f t="shared" si="0"/>
        <v>-37.871480561404816</v>
      </c>
      <c r="AF34" s="328">
        <f t="shared" si="3"/>
        <v>-37.871210561404816</v>
      </c>
      <c r="AG34" s="328">
        <f t="shared" si="4"/>
        <v>17</v>
      </c>
      <c r="AH34" s="333" t="str">
        <f t="shared" si="5"/>
        <v>Yarra</v>
      </c>
      <c r="AI34" s="334">
        <f t="shared" si="6"/>
        <v>-45.154251542579352</v>
      </c>
      <c r="AJ34" s="287"/>
    </row>
    <row r="35" spans="1:36">
      <c r="A35" s="295">
        <v>25</v>
      </c>
      <c r="B35" s="335" t="s">
        <v>1462</v>
      </c>
      <c r="C35" s="336">
        <f>VLOOKUP($E$4+$E$8*37-37,'Data (2)'!$A$5:$AB$73,2+$A35)/1000000</f>
        <v>120.63907693963063</v>
      </c>
      <c r="D35" s="337">
        <f>VLOOKUP($E$6+$E$8*37-37,'Data (2)'!$A$5:$AB$73,2+$A35)/1000000</f>
        <v>8.470473979396397</v>
      </c>
      <c r="P35" s="287"/>
      <c r="Q35" s="287"/>
      <c r="R35" s="287"/>
      <c r="S35" s="287"/>
      <c r="T35" s="287"/>
      <c r="U35" s="287"/>
      <c r="V35" s="287"/>
      <c r="W35" s="287"/>
      <c r="X35" s="331"/>
      <c r="Y35" s="328">
        <v>28</v>
      </c>
      <c r="Z35" s="379" t="s">
        <v>174</v>
      </c>
      <c r="AA35" s="380">
        <f>VLOOKUP($AC$5*37-37+$Y35,'Data (2)'!$A$5:$AC$73,2+$Y$3)</f>
        <v>123760384.40598966</v>
      </c>
      <c r="AB35" s="380">
        <f>VLOOKUP($AC$5*37-37+$Y35,'Data (2)'!$A$5:$AC$73,2+$AA$3)</f>
        <v>110856167.75999999</v>
      </c>
      <c r="AC35" s="380">
        <f t="shared" si="1"/>
        <v>-12904216.645989671</v>
      </c>
      <c r="AD35" s="380">
        <f t="shared" si="2"/>
        <v>-10.426774858470093</v>
      </c>
      <c r="AE35" s="380">
        <f t="shared" si="0"/>
        <v>-10.426774858470093</v>
      </c>
      <c r="AF35" s="328">
        <f t="shared" si="3"/>
        <v>-10.426494858470093</v>
      </c>
      <c r="AG35" s="328">
        <f t="shared" si="4"/>
        <v>5</v>
      </c>
      <c r="AH35" s="333" t="str">
        <f t="shared" si="5"/>
        <v>Port Phillip</v>
      </c>
      <c r="AI35" s="334">
        <f t="shared" si="6"/>
        <v>-45.969518008098312</v>
      </c>
      <c r="AJ35" s="287"/>
    </row>
    <row r="36" spans="1:36">
      <c r="A36" s="295">
        <v>26</v>
      </c>
      <c r="B36" s="335" t="s">
        <v>1463</v>
      </c>
      <c r="C36" s="336">
        <f>VLOOKUP($E$4+$E$8*37-37,'Data (2)'!$A$5:$AB$73,2+$A36)/1000000</f>
        <v>120.88659267112477</v>
      </c>
      <c r="D36" s="337">
        <f>VLOOKUP($E$6+$E$8*37-37,'Data (2)'!$A$5:$AB$73,2+$A36)/1000000</f>
        <v>8.958426313295254</v>
      </c>
      <c r="P36" s="287"/>
      <c r="Q36" s="287"/>
      <c r="R36" s="287"/>
      <c r="S36" s="287"/>
      <c r="T36" s="287"/>
      <c r="U36" s="287"/>
      <c r="V36" s="287"/>
      <c r="W36" s="287"/>
      <c r="X36" s="331"/>
      <c r="Y36" s="328">
        <v>29</v>
      </c>
      <c r="Z36" s="379" t="s">
        <v>175</v>
      </c>
      <c r="AA36" s="380">
        <f>VLOOKUP($AC$5*37-37+$Y36,'Data (2)'!$A$5:$AC$73,2+$Y$3)</f>
        <v>89053716.86447607</v>
      </c>
      <c r="AB36" s="380">
        <f>VLOOKUP($AC$5*37-37+$Y36,'Data (2)'!$A$5:$AC$73,2+$AA$3)</f>
        <v>106057102.17999999</v>
      </c>
      <c r="AC36" s="380">
        <f t="shared" si="1"/>
        <v>17003385.315523922</v>
      </c>
      <c r="AD36" s="380">
        <f t="shared" si="2"/>
        <v>19.09340330106609</v>
      </c>
      <c r="AE36" s="380">
        <f t="shared" si="0"/>
        <v>19.09340330106609</v>
      </c>
      <c r="AF36" s="328">
        <f t="shared" si="3"/>
        <v>19.093693301066089</v>
      </c>
      <c r="AG36" s="328">
        <f t="shared" si="4"/>
        <v>3</v>
      </c>
      <c r="AH36" s="333" t="str">
        <f t="shared" si="5"/>
        <v>Knox</v>
      </c>
      <c r="AI36" s="334">
        <f t="shared" si="6"/>
        <v>-47.00614558904207</v>
      </c>
      <c r="AJ36" s="287"/>
    </row>
    <row r="37" spans="1:36">
      <c r="A37" s="287">
        <v>27</v>
      </c>
      <c r="B37" s="335" t="s">
        <v>1513</v>
      </c>
      <c r="C37" s="336">
        <f>VLOOKUP($E$4+$E$8*37-37,'Data (2)'!$A$5:$AC$73,2+$A37)/1000000</f>
        <v>119.31187792999999</v>
      </c>
      <c r="D37" s="337">
        <f>VLOOKUP($E$6+$E$8*37-37,'Data (2)'!$A$5:$AC$73,2+$A37)/1000000</f>
        <v>9.8500882300000008</v>
      </c>
      <c r="P37" s="287"/>
      <c r="Q37" s="287"/>
      <c r="R37" s="287"/>
      <c r="S37" s="287"/>
      <c r="T37" s="287"/>
      <c r="U37" s="287"/>
      <c r="V37" s="287"/>
      <c r="W37" s="287"/>
      <c r="X37" s="331"/>
      <c r="Y37" s="328">
        <v>30</v>
      </c>
      <c r="Z37" s="379" t="s">
        <v>39</v>
      </c>
      <c r="AA37" s="380">
        <f>VLOOKUP($AC$5*37-37+$Y37,'Data (2)'!$A$5:$AC$73,2+$Y$3)</f>
        <v>55183626.593001291</v>
      </c>
      <c r="AB37" s="380">
        <f>VLOOKUP($AC$5*37-37+$Y37,'Data (2)'!$A$5:$AC$73,2+$AA$3)</f>
        <v>30265707.479999997</v>
      </c>
      <c r="AC37" s="380">
        <f t="shared" si="1"/>
        <v>-24917919.113001294</v>
      </c>
      <c r="AD37" s="380">
        <f t="shared" si="2"/>
        <v>-45.154551542579355</v>
      </c>
      <c r="AE37" s="380">
        <f t="shared" si="0"/>
        <v>-45.154551542579355</v>
      </c>
      <c r="AF37" s="328">
        <f t="shared" si="3"/>
        <v>-45.154251542579352</v>
      </c>
      <c r="AG37" s="328">
        <f t="shared" si="4"/>
        <v>27</v>
      </c>
      <c r="AH37" s="333" t="str">
        <f t="shared" si="5"/>
        <v>Stonnington</v>
      </c>
      <c r="AI37" s="334">
        <f t="shared" si="6"/>
        <v>-48.698696707906571</v>
      </c>
      <c r="AJ37" s="287"/>
    </row>
    <row r="38" spans="1:36">
      <c r="B38" s="283"/>
      <c r="P38" s="287"/>
      <c r="Q38" s="287"/>
      <c r="R38" s="287"/>
      <c r="S38" s="287"/>
      <c r="T38" s="287"/>
      <c r="U38" s="287"/>
      <c r="V38" s="287"/>
      <c r="W38" s="287"/>
      <c r="X38" s="331"/>
      <c r="Y38" s="328">
        <v>31</v>
      </c>
      <c r="Z38" s="379" t="s">
        <v>177</v>
      </c>
      <c r="AA38" s="380">
        <f>VLOOKUP($AC$5*37-37+$Y38,'Data (2)'!$A$5:$AC$73,2+$Y$3)</f>
        <v>50366930.89672704</v>
      </c>
      <c r="AB38" s="380">
        <f>VLOOKUP($AC$5*37-37+$Y38,'Data (2)'!$A$5:$AC$73,2+$AA$3)</f>
        <v>29226804.269999996</v>
      </c>
      <c r="AC38" s="380">
        <f t="shared" si="1"/>
        <v>-21140126.626727045</v>
      </c>
      <c r="AD38" s="380">
        <f t="shared" si="2"/>
        <v>-41.972235056515586</v>
      </c>
      <c r="AE38" s="380">
        <f t="shared" si="0"/>
        <v>-41.972235056515586</v>
      </c>
      <c r="AF38" s="328">
        <f t="shared" si="3"/>
        <v>-41.971925056515587</v>
      </c>
      <c r="AG38" s="328">
        <f t="shared" si="4"/>
        <v>23</v>
      </c>
      <c r="AH38" s="333" t="str">
        <f t="shared" si="5"/>
        <v>Bayside</v>
      </c>
      <c r="AI38" s="334">
        <f t="shared" si="6"/>
        <v>-54.214743877090989</v>
      </c>
      <c r="AJ38" s="287"/>
    </row>
    <row r="39" spans="1:36">
      <c r="C39" s="434" t="s">
        <v>1475</v>
      </c>
      <c r="D39" s="434"/>
      <c r="P39" s="287"/>
      <c r="Q39" s="287"/>
      <c r="R39" s="287"/>
      <c r="S39" s="287"/>
      <c r="T39" s="287"/>
      <c r="U39" s="287"/>
      <c r="V39" s="287"/>
      <c r="W39" s="287"/>
      <c r="X39" s="331"/>
      <c r="Y39" s="331"/>
      <c r="Z39" s="331"/>
      <c r="AA39" s="331"/>
      <c r="AB39" s="384"/>
      <c r="AC39" s="331"/>
      <c r="AD39" s="331"/>
      <c r="AE39" s="331"/>
      <c r="AF39" s="332"/>
      <c r="AG39" s="328"/>
      <c r="AH39" s="328"/>
      <c r="AJ39" s="287"/>
    </row>
    <row r="40" spans="1:36">
      <c r="C40" s="338">
        <f>VLOOKUP($E$4+37,'Data (2)'!$A$5:$AE$73,31)</f>
        <v>3355175218.2860856</v>
      </c>
      <c r="D40" s="339">
        <f>VLOOKUP($E$6+37,'Data (2)'!$A$5:$AE$73,31)</f>
        <v>284035772.10344398</v>
      </c>
      <c r="P40" s="287"/>
      <c r="Q40" s="287"/>
      <c r="R40" s="287"/>
      <c r="S40" s="287"/>
      <c r="T40" s="287"/>
      <c r="U40" s="287"/>
      <c r="V40" s="287"/>
      <c r="W40" s="287"/>
      <c r="X40" s="331"/>
      <c r="Y40" s="331"/>
      <c r="Z40" s="331"/>
      <c r="AA40" s="331"/>
      <c r="AB40" s="331"/>
      <c r="AC40" s="331"/>
      <c r="AD40" s="331"/>
      <c r="AE40" s="331"/>
      <c r="AF40" s="332"/>
      <c r="AG40" s="332"/>
      <c r="AH40" s="328"/>
      <c r="AJ40" s="287"/>
    </row>
    <row r="41" spans="1:36">
      <c r="C41" s="427" t="s">
        <v>1522</v>
      </c>
      <c r="D41" s="427"/>
      <c r="X41" s="331"/>
      <c r="Y41" s="331"/>
      <c r="Z41" s="331"/>
      <c r="AA41" s="331"/>
      <c r="AB41" s="331"/>
      <c r="AC41" s="331"/>
      <c r="AD41" s="331"/>
      <c r="AE41" s="331"/>
      <c r="AF41" s="332"/>
    </row>
    <row r="42" spans="1:36">
      <c r="X42" s="331"/>
      <c r="Y42" s="331"/>
      <c r="Z42" s="331"/>
      <c r="AA42" s="331"/>
      <c r="AB42" s="331"/>
      <c r="AC42" s="331"/>
      <c r="AD42" s="331"/>
      <c r="AE42" s="331"/>
      <c r="AF42" s="332"/>
    </row>
  </sheetData>
  <sheetProtection password="CF21" sheet="1" objects="1" scenarios="1"/>
  <mergeCells count="8">
    <mergeCell ref="C41:D41"/>
    <mergeCell ref="AG2:AI2"/>
    <mergeCell ref="B1:O1"/>
    <mergeCell ref="X1:AI1"/>
    <mergeCell ref="B2:O2"/>
    <mergeCell ref="G8:O9"/>
    <mergeCell ref="C9:D9"/>
    <mergeCell ref="C39:D39"/>
  </mergeCells>
  <hyperlinks>
    <hyperlink ref="AG2:AI2" location="Front!E1" display="Front!E1" xr:uid="{00000000-0004-0000-0A00-000000000000}"/>
  </hyperlinks>
  <pageMargins left="0.70866141732283472" right="0.70866141732283472" top="0.74803149606299213" bottom="0.74803149606299213" header="0.31496062992125984" footer="0.31496062992125984"/>
  <pageSetup paperSize="9" scale="91" fitToWidth="2" orientation="landscape" r:id="rId1"/>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22913" r:id="rId4" name="Drop Down 1">
              <controlPr defaultSize="0" autoLine="0" autoPict="0">
                <anchor moveWithCells="1">
                  <from>
                    <xdr:col>3</xdr:col>
                    <xdr:colOff>885825</xdr:colOff>
                    <xdr:row>2</xdr:row>
                    <xdr:rowOff>142875</xdr:rowOff>
                  </from>
                  <to>
                    <xdr:col>5</xdr:col>
                    <xdr:colOff>571500</xdr:colOff>
                    <xdr:row>4</xdr:row>
                    <xdr:rowOff>66675</xdr:rowOff>
                  </to>
                </anchor>
              </controlPr>
            </control>
          </mc:Choice>
        </mc:AlternateContent>
        <mc:AlternateContent xmlns:mc="http://schemas.openxmlformats.org/markup-compatibility/2006">
          <mc:Choice Requires="x14">
            <control shapeId="422914" r:id="rId5" name="Drop Down 2">
              <controlPr defaultSize="0" autoLine="0" autoPict="0">
                <anchor moveWithCells="1">
                  <from>
                    <xdr:col>3</xdr:col>
                    <xdr:colOff>885825</xdr:colOff>
                    <xdr:row>4</xdr:row>
                    <xdr:rowOff>152400</xdr:rowOff>
                  </from>
                  <to>
                    <xdr:col>5</xdr:col>
                    <xdr:colOff>571500</xdr:colOff>
                    <xdr:row>6</xdr:row>
                    <xdr:rowOff>66675</xdr:rowOff>
                  </to>
                </anchor>
              </controlPr>
            </control>
          </mc:Choice>
        </mc:AlternateContent>
        <mc:AlternateContent xmlns:mc="http://schemas.openxmlformats.org/markup-compatibility/2006">
          <mc:Choice Requires="x14">
            <control shapeId="422915" r:id="rId6" name="Drop Down 3">
              <controlPr defaultSize="0" autoLine="0" autoPict="0">
                <anchor moveWithCells="1">
                  <from>
                    <xdr:col>3</xdr:col>
                    <xdr:colOff>885825</xdr:colOff>
                    <xdr:row>6</xdr:row>
                    <xdr:rowOff>123825</xdr:rowOff>
                  </from>
                  <to>
                    <xdr:col>5</xdr:col>
                    <xdr:colOff>723900</xdr:colOff>
                    <xdr:row>8</xdr:row>
                    <xdr:rowOff>28575</xdr:rowOff>
                  </to>
                </anchor>
              </controlPr>
            </control>
          </mc:Choice>
        </mc:AlternateContent>
        <mc:AlternateContent xmlns:mc="http://schemas.openxmlformats.org/markup-compatibility/2006">
          <mc:Choice Requires="x14">
            <control shapeId="422916" r:id="rId7" name="Drop Down 4">
              <controlPr defaultSize="0" autoLine="0" autoPict="0">
                <anchor moveWithCells="1">
                  <from>
                    <xdr:col>8</xdr:col>
                    <xdr:colOff>476250</xdr:colOff>
                    <xdr:row>3</xdr:row>
                    <xdr:rowOff>0</xdr:rowOff>
                  </from>
                  <to>
                    <xdr:col>9</xdr:col>
                    <xdr:colOff>600075</xdr:colOff>
                    <xdr:row>4</xdr:row>
                    <xdr:rowOff>28575</xdr:rowOff>
                  </to>
                </anchor>
              </controlPr>
            </control>
          </mc:Choice>
        </mc:AlternateContent>
        <mc:AlternateContent xmlns:mc="http://schemas.openxmlformats.org/markup-compatibility/2006">
          <mc:Choice Requires="x14">
            <control shapeId="422917" r:id="rId8" name="Drop Down 5">
              <controlPr defaultSize="0" autoLine="0" autoPict="0">
                <anchor moveWithCells="1">
                  <from>
                    <xdr:col>8</xdr:col>
                    <xdr:colOff>485775</xdr:colOff>
                    <xdr:row>5</xdr:row>
                    <xdr:rowOff>9525</xdr:rowOff>
                  </from>
                  <to>
                    <xdr:col>10</xdr:col>
                    <xdr:colOff>0</xdr:colOff>
                    <xdr:row>6</xdr:row>
                    <xdr:rowOff>28575</xdr:rowOff>
                  </to>
                </anchor>
              </controlPr>
            </control>
          </mc:Choice>
        </mc:AlternateContent>
        <mc:AlternateContent xmlns:mc="http://schemas.openxmlformats.org/markup-compatibility/2006">
          <mc:Choice Requires="x14">
            <control shapeId="422918" r:id="rId9" name="Drop Down 6">
              <controlPr defaultSize="0" autoLine="0" autoPict="0">
                <anchor moveWithCells="1">
                  <from>
                    <xdr:col>24</xdr:col>
                    <xdr:colOff>0</xdr:colOff>
                    <xdr:row>2</xdr:row>
                    <xdr:rowOff>0</xdr:rowOff>
                  </from>
                  <to>
                    <xdr:col>25</xdr:col>
                    <xdr:colOff>123825</xdr:colOff>
                    <xdr:row>3</xdr:row>
                    <xdr:rowOff>28575</xdr:rowOff>
                  </to>
                </anchor>
              </controlPr>
            </control>
          </mc:Choice>
        </mc:AlternateContent>
        <mc:AlternateContent xmlns:mc="http://schemas.openxmlformats.org/markup-compatibility/2006">
          <mc:Choice Requires="x14">
            <control shapeId="422919" r:id="rId10" name="Drop Down 7">
              <controlPr defaultSize="0" autoLine="0" autoPict="0">
                <anchor moveWithCells="1">
                  <from>
                    <xdr:col>26</xdr:col>
                    <xdr:colOff>9525</xdr:colOff>
                    <xdr:row>2</xdr:row>
                    <xdr:rowOff>0</xdr:rowOff>
                  </from>
                  <to>
                    <xdr:col>27</xdr:col>
                    <xdr:colOff>66675</xdr:colOff>
                    <xdr:row>3</xdr:row>
                    <xdr:rowOff>19050</xdr:rowOff>
                  </to>
                </anchor>
              </controlPr>
            </control>
          </mc:Choice>
        </mc:AlternateContent>
        <mc:AlternateContent xmlns:mc="http://schemas.openxmlformats.org/markup-compatibility/2006">
          <mc:Choice Requires="x14">
            <control shapeId="422920" r:id="rId11" name="Drop Down 8">
              <controlPr defaultSize="0" autoLine="0" autoPict="0">
                <anchor moveWithCells="1">
                  <from>
                    <xdr:col>27</xdr:col>
                    <xdr:colOff>600075</xdr:colOff>
                    <xdr:row>3</xdr:row>
                    <xdr:rowOff>123825</xdr:rowOff>
                  </from>
                  <to>
                    <xdr:col>30</xdr:col>
                    <xdr:colOff>352425</xdr:colOff>
                    <xdr:row>5</xdr:row>
                    <xdr:rowOff>0</xdr:rowOff>
                  </to>
                </anchor>
              </controlPr>
            </control>
          </mc:Choice>
        </mc:AlternateContent>
        <mc:AlternateContent xmlns:mc="http://schemas.openxmlformats.org/markup-compatibility/2006">
          <mc:Choice Requires="x14">
            <control shapeId="422921" r:id="rId12" name="Drop Down 9">
              <controlPr defaultSize="0" autoLine="0" autoPict="0">
                <anchor moveWithCells="1">
                  <from>
                    <xdr:col>27</xdr:col>
                    <xdr:colOff>600075</xdr:colOff>
                    <xdr:row>1</xdr:row>
                    <xdr:rowOff>152400</xdr:rowOff>
                  </from>
                  <to>
                    <xdr:col>30</xdr:col>
                    <xdr:colOff>95250</xdr:colOff>
                    <xdr:row>2</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514"/>
  <sheetViews>
    <sheetView workbookViewId="0">
      <selection activeCell="K4" sqref="K4"/>
    </sheetView>
  </sheetViews>
  <sheetFormatPr defaultRowHeight="12.75"/>
  <cols>
    <col min="1" max="1" width="35" customWidth="1"/>
    <col min="2" max="4" width="10.42578125" customWidth="1"/>
    <col min="5" max="5" width="12" style="215" bestFit="1" customWidth="1"/>
    <col min="6" max="7" width="10.42578125" style="215" customWidth="1"/>
    <col min="8" max="9" width="10.42578125" customWidth="1"/>
    <col min="10" max="10" width="17.7109375" customWidth="1"/>
    <col min="11" max="13" width="13.42578125" customWidth="1"/>
    <col min="14" max="14" width="11.42578125" customWidth="1"/>
    <col min="15" max="15" width="16.28515625" customWidth="1"/>
    <col min="16" max="16" width="9.5703125" customWidth="1"/>
    <col min="18" max="19" width="11.140625" customWidth="1"/>
  </cols>
  <sheetData>
    <row r="1" spans="1:17" ht="33.75" customHeight="1">
      <c r="A1" s="102" t="s">
        <v>1321</v>
      </c>
      <c r="B1" s="103"/>
      <c r="C1" s="104"/>
      <c r="D1" s="103"/>
      <c r="E1" s="211"/>
      <c r="F1" s="216"/>
      <c r="G1" s="216"/>
      <c r="H1" s="105"/>
      <c r="I1" s="105"/>
      <c r="J1" s="435" t="s">
        <v>1322</v>
      </c>
      <c r="K1" s="435"/>
      <c r="L1" s="435"/>
      <c r="M1" s="435"/>
      <c r="N1" s="435"/>
      <c r="O1" s="435"/>
      <c r="P1" s="435"/>
      <c r="Q1" s="435"/>
    </row>
    <row r="2" spans="1:17" ht="16.5" customHeight="1">
      <c r="A2" s="106"/>
      <c r="B2" s="103"/>
      <c r="C2" s="104"/>
      <c r="D2" s="103"/>
      <c r="E2" s="211"/>
      <c r="F2" s="216"/>
      <c r="G2" s="216"/>
      <c r="H2" s="105"/>
      <c r="I2" s="105"/>
      <c r="J2" s="107" t="s">
        <v>1323</v>
      </c>
      <c r="K2" s="103"/>
      <c r="L2" s="108"/>
      <c r="M2" s="108"/>
      <c r="N2" s="108"/>
    </row>
    <row r="3" spans="1:17" ht="33.75">
      <c r="A3" s="109" t="s">
        <v>1324</v>
      </c>
      <c r="B3" s="110" t="s">
        <v>1285</v>
      </c>
      <c r="C3" s="109" t="s">
        <v>1325</v>
      </c>
      <c r="D3" s="110" t="s">
        <v>1395</v>
      </c>
      <c r="E3" s="212" t="s">
        <v>1396</v>
      </c>
      <c r="F3" s="217" t="s">
        <v>1397</v>
      </c>
      <c r="G3" s="217"/>
      <c r="J3" s="103"/>
      <c r="K3" s="111" t="s">
        <v>1400</v>
      </c>
      <c r="L3" s="111" t="s">
        <v>1401</v>
      </c>
      <c r="M3" s="111" t="s">
        <v>1400</v>
      </c>
      <c r="N3" s="111" t="s">
        <v>193</v>
      </c>
    </row>
    <row r="4" spans="1:17">
      <c r="A4" s="100" t="s">
        <v>203</v>
      </c>
      <c r="B4" s="112" t="s">
        <v>1272</v>
      </c>
      <c r="C4" s="113" t="s">
        <v>103</v>
      </c>
      <c r="D4" s="112" t="s">
        <v>1271</v>
      </c>
      <c r="E4" s="213">
        <v>2262950.3499999996</v>
      </c>
      <c r="F4" s="218">
        <v>55</v>
      </c>
      <c r="G4" s="218">
        <v>1</v>
      </c>
      <c r="J4" s="114" t="s">
        <v>103</v>
      </c>
      <c r="K4" s="220">
        <f>SUMIF($C$4:$C$499,J4,E$4:E$512)</f>
        <v>4349591.92</v>
      </c>
      <c r="L4" s="220">
        <f>SUMIF($C$4:$C$499,J4,F$4:F$512)</f>
        <v>113</v>
      </c>
      <c r="M4" s="220">
        <f>K4/1000000</f>
        <v>4.3495919199999999</v>
      </c>
      <c r="N4" s="108">
        <f>SUMIF($C$4:$C$499,J4,G$4:G$512)</f>
        <v>3</v>
      </c>
    </row>
    <row r="5" spans="1:17">
      <c r="A5" s="101" t="s">
        <v>205</v>
      </c>
      <c r="B5" s="115" t="s">
        <v>1272</v>
      </c>
      <c r="C5" s="116" t="s">
        <v>128</v>
      </c>
      <c r="D5" s="115" t="s">
        <v>1271</v>
      </c>
      <c r="E5" s="214">
        <v>3524089.1100000003</v>
      </c>
      <c r="F5" s="219">
        <v>77</v>
      </c>
      <c r="G5" s="219">
        <v>1</v>
      </c>
      <c r="J5" s="114" t="s">
        <v>190</v>
      </c>
      <c r="K5" s="220">
        <f t="shared" ref="K5:K68" si="0">SUMIF($C$4:$C$499,J5,E$4:E$512)</f>
        <v>5127078.1899999995</v>
      </c>
      <c r="L5" s="220">
        <f t="shared" ref="L5:L68" si="1">SUMIF($C$4:$C$499,J5,F$4:F$512)</f>
        <v>88</v>
      </c>
      <c r="M5" s="220">
        <f t="shared" ref="M5:M68" si="2">K5/1000000</f>
        <v>5.1270781899999998</v>
      </c>
      <c r="N5" s="108">
        <f t="shared" ref="N5:N68" si="3">SUMIF($C$4:$C$499,J5,G$4:G$512)</f>
        <v>2</v>
      </c>
    </row>
    <row r="6" spans="1:17">
      <c r="A6" s="101" t="s">
        <v>207</v>
      </c>
      <c r="B6" s="115" t="s">
        <v>1272</v>
      </c>
      <c r="C6" s="116" t="s">
        <v>120</v>
      </c>
      <c r="D6" s="115" t="s">
        <v>1273</v>
      </c>
      <c r="E6" s="214">
        <v>5619528.2199999997</v>
      </c>
      <c r="F6" s="219">
        <v>50</v>
      </c>
      <c r="G6" s="219">
        <v>1</v>
      </c>
      <c r="J6" s="114" t="s">
        <v>105</v>
      </c>
      <c r="K6" s="220">
        <f t="shared" si="0"/>
        <v>57540687.409999996</v>
      </c>
      <c r="L6" s="220">
        <f t="shared" si="1"/>
        <v>639</v>
      </c>
      <c r="M6" s="220">
        <f t="shared" si="2"/>
        <v>57.540687409999997</v>
      </c>
      <c r="N6" s="108">
        <f t="shared" si="3"/>
        <v>15</v>
      </c>
    </row>
    <row r="7" spans="1:17">
      <c r="A7" s="101" t="s">
        <v>209</v>
      </c>
      <c r="B7" s="115" t="s">
        <v>1272</v>
      </c>
      <c r="C7" s="116" t="s">
        <v>128</v>
      </c>
      <c r="D7" s="115" t="s">
        <v>1273</v>
      </c>
      <c r="E7" s="214">
        <v>2590962.73</v>
      </c>
      <c r="F7" s="219">
        <v>24</v>
      </c>
      <c r="G7" s="219">
        <v>1</v>
      </c>
      <c r="J7" s="114" t="s">
        <v>106</v>
      </c>
      <c r="K7" s="220">
        <f t="shared" si="0"/>
        <v>57758108.75</v>
      </c>
      <c r="L7" s="220">
        <f t="shared" si="1"/>
        <v>635</v>
      </c>
      <c r="M7" s="220">
        <f t="shared" si="2"/>
        <v>57.758108749999998</v>
      </c>
      <c r="N7" s="108">
        <f t="shared" si="3"/>
        <v>9</v>
      </c>
    </row>
    <row r="8" spans="1:17">
      <c r="A8" s="101" t="s">
        <v>211</v>
      </c>
      <c r="B8" s="115" t="s">
        <v>1274</v>
      </c>
      <c r="C8" s="116" t="s">
        <v>35</v>
      </c>
      <c r="D8" s="115" t="s">
        <v>1271</v>
      </c>
      <c r="E8" s="214">
        <v>2505802.54</v>
      </c>
      <c r="F8" s="219">
        <v>35</v>
      </c>
      <c r="G8" s="219">
        <v>1</v>
      </c>
      <c r="J8" s="114" t="s">
        <v>107</v>
      </c>
      <c r="K8" s="220">
        <f t="shared" si="0"/>
        <v>17616911.379999999</v>
      </c>
      <c r="L8" s="220">
        <f t="shared" si="1"/>
        <v>213</v>
      </c>
      <c r="M8" s="220">
        <f t="shared" si="2"/>
        <v>17.616911379999998</v>
      </c>
      <c r="N8" s="108">
        <f t="shared" si="3"/>
        <v>5</v>
      </c>
    </row>
    <row r="9" spans="1:17">
      <c r="A9" s="101" t="s">
        <v>213</v>
      </c>
      <c r="B9" s="115" t="s">
        <v>1274</v>
      </c>
      <c r="C9" s="116" t="s">
        <v>127</v>
      </c>
      <c r="D9" s="115" t="s">
        <v>1273</v>
      </c>
      <c r="E9" s="214">
        <v>11399426.219999999</v>
      </c>
      <c r="F9" s="219">
        <v>100</v>
      </c>
      <c r="G9" s="219">
        <v>1</v>
      </c>
      <c r="J9" s="114" t="s">
        <v>108</v>
      </c>
      <c r="K9" s="220">
        <f t="shared" si="0"/>
        <v>17178584.590000004</v>
      </c>
      <c r="L9" s="220">
        <f t="shared" si="1"/>
        <v>238</v>
      </c>
      <c r="M9" s="220">
        <f t="shared" si="2"/>
        <v>17.178584590000003</v>
      </c>
      <c r="N9" s="108">
        <f t="shared" si="3"/>
        <v>4</v>
      </c>
    </row>
    <row r="10" spans="1:17">
      <c r="A10" s="101" t="s">
        <v>217</v>
      </c>
      <c r="B10" s="115" t="s">
        <v>1272</v>
      </c>
      <c r="C10" s="116" t="s">
        <v>133</v>
      </c>
      <c r="D10" s="115" t="s">
        <v>1271</v>
      </c>
      <c r="E10" s="214">
        <v>1971208.15</v>
      </c>
      <c r="F10" s="219">
        <v>37</v>
      </c>
      <c r="G10" s="219">
        <v>1</v>
      </c>
      <c r="J10" s="114" t="s">
        <v>109</v>
      </c>
      <c r="K10" s="220">
        <f t="shared" si="0"/>
        <v>13807869.640000001</v>
      </c>
      <c r="L10" s="220">
        <f t="shared" si="1"/>
        <v>208</v>
      </c>
      <c r="M10" s="220">
        <f t="shared" si="2"/>
        <v>13.80786964</v>
      </c>
      <c r="N10" s="108">
        <f t="shared" si="3"/>
        <v>5</v>
      </c>
    </row>
    <row r="11" spans="1:17">
      <c r="A11" s="101" t="s">
        <v>219</v>
      </c>
      <c r="B11" s="115" t="s">
        <v>1272</v>
      </c>
      <c r="C11" s="116" t="s">
        <v>133</v>
      </c>
      <c r="D11" s="115" t="s">
        <v>1271</v>
      </c>
      <c r="E11" s="214">
        <v>3450157.5300000003</v>
      </c>
      <c r="F11" s="219">
        <v>58</v>
      </c>
      <c r="G11" s="219">
        <v>1</v>
      </c>
      <c r="J11" s="114" t="s">
        <v>110</v>
      </c>
      <c r="K11" s="220">
        <f t="shared" si="0"/>
        <v>5510447.2699999996</v>
      </c>
      <c r="L11" s="220">
        <f t="shared" si="1"/>
        <v>105</v>
      </c>
      <c r="M11" s="220">
        <f t="shared" si="2"/>
        <v>5.5104472699999993</v>
      </c>
      <c r="N11" s="108">
        <f t="shared" si="3"/>
        <v>3</v>
      </c>
    </row>
    <row r="12" spans="1:17">
      <c r="A12" s="101" t="s">
        <v>221</v>
      </c>
      <c r="B12" s="115" t="s">
        <v>1272</v>
      </c>
      <c r="C12" s="116" t="s">
        <v>133</v>
      </c>
      <c r="D12" s="115" t="s">
        <v>1271</v>
      </c>
      <c r="E12" s="214">
        <v>4628526.37</v>
      </c>
      <c r="F12" s="219">
        <v>83</v>
      </c>
      <c r="G12" s="219">
        <v>1</v>
      </c>
      <c r="J12" s="114" t="s">
        <v>111</v>
      </c>
      <c r="K12" s="220">
        <f t="shared" si="0"/>
        <v>20450974.239999998</v>
      </c>
      <c r="L12" s="220">
        <f t="shared" si="1"/>
        <v>162</v>
      </c>
      <c r="M12" s="220">
        <f t="shared" si="2"/>
        <v>20.450974239999997</v>
      </c>
      <c r="N12" s="108">
        <f t="shared" si="3"/>
        <v>4</v>
      </c>
    </row>
    <row r="13" spans="1:17">
      <c r="A13" s="101" t="s">
        <v>223</v>
      </c>
      <c r="B13" s="115" t="s">
        <v>1274</v>
      </c>
      <c r="C13" s="116" t="s">
        <v>114</v>
      </c>
      <c r="D13" s="115" t="s">
        <v>1273</v>
      </c>
      <c r="E13" s="214">
        <v>1278392.2400000002</v>
      </c>
      <c r="F13" s="219">
        <v>42</v>
      </c>
      <c r="G13" s="219">
        <v>1</v>
      </c>
      <c r="J13" s="114" t="s">
        <v>112</v>
      </c>
      <c r="K13" s="220">
        <f t="shared" si="0"/>
        <v>142904247.84</v>
      </c>
      <c r="L13" s="220">
        <f t="shared" si="1"/>
        <v>952</v>
      </c>
      <c r="M13" s="220">
        <f t="shared" si="2"/>
        <v>142.90424784000001</v>
      </c>
      <c r="N13" s="108">
        <f t="shared" si="3"/>
        <v>15</v>
      </c>
    </row>
    <row r="14" spans="1:17">
      <c r="A14" s="101" t="s">
        <v>224</v>
      </c>
      <c r="B14" s="115" t="s">
        <v>1272</v>
      </c>
      <c r="C14" s="116" t="s">
        <v>116</v>
      </c>
      <c r="D14" s="115" t="s">
        <v>1271</v>
      </c>
      <c r="E14" s="214">
        <v>6532595.7300000004</v>
      </c>
      <c r="F14" s="219">
        <v>80</v>
      </c>
      <c r="G14" s="219">
        <v>1</v>
      </c>
      <c r="J14" s="114" t="s">
        <v>113</v>
      </c>
      <c r="K14" s="220">
        <f t="shared" si="0"/>
        <v>0</v>
      </c>
      <c r="L14" s="220">
        <f t="shared" si="1"/>
        <v>0</v>
      </c>
      <c r="M14" s="220">
        <f t="shared" si="2"/>
        <v>0</v>
      </c>
      <c r="N14" s="108">
        <f t="shared" si="3"/>
        <v>0</v>
      </c>
    </row>
    <row r="15" spans="1:17">
      <c r="A15" s="101" t="s">
        <v>226</v>
      </c>
      <c r="B15" s="115" t="s">
        <v>1272</v>
      </c>
      <c r="C15" s="116" t="s">
        <v>166</v>
      </c>
      <c r="D15" s="115" t="s">
        <v>1273</v>
      </c>
      <c r="E15" s="214">
        <v>3653705.5300000003</v>
      </c>
      <c r="F15" s="219">
        <v>45</v>
      </c>
      <c r="G15" s="219">
        <v>1</v>
      </c>
      <c r="J15" s="114" t="s">
        <v>114</v>
      </c>
      <c r="K15" s="220">
        <f t="shared" si="0"/>
        <v>8863073.6799999997</v>
      </c>
      <c r="L15" s="220">
        <f t="shared" si="1"/>
        <v>209</v>
      </c>
      <c r="M15" s="220">
        <f t="shared" si="2"/>
        <v>8.8630736799999994</v>
      </c>
      <c r="N15" s="108">
        <f t="shared" si="3"/>
        <v>4</v>
      </c>
    </row>
    <row r="16" spans="1:17">
      <c r="A16" s="101" t="s">
        <v>230</v>
      </c>
      <c r="B16" s="115" t="s">
        <v>1274</v>
      </c>
      <c r="C16" s="116" t="s">
        <v>168</v>
      </c>
      <c r="D16" s="115" t="s">
        <v>1271</v>
      </c>
      <c r="E16" s="214">
        <v>706619.67999999993</v>
      </c>
      <c r="F16" s="219">
        <v>34</v>
      </c>
      <c r="G16" s="219">
        <v>1</v>
      </c>
      <c r="J16" s="114" t="s">
        <v>115</v>
      </c>
      <c r="K16" s="220">
        <f t="shared" si="0"/>
        <v>28545146.739999995</v>
      </c>
      <c r="L16" s="220">
        <f t="shared" si="1"/>
        <v>325</v>
      </c>
      <c r="M16" s="220">
        <f t="shared" si="2"/>
        <v>28.545146739999996</v>
      </c>
      <c r="N16" s="108">
        <f t="shared" si="3"/>
        <v>5</v>
      </c>
    </row>
    <row r="17" spans="1:14">
      <c r="A17" s="101" t="s">
        <v>232</v>
      </c>
      <c r="B17" s="115" t="s">
        <v>1274</v>
      </c>
      <c r="C17" s="116" t="s">
        <v>190</v>
      </c>
      <c r="D17" s="115" t="s">
        <v>1271</v>
      </c>
      <c r="E17" s="214">
        <v>4078168.21</v>
      </c>
      <c r="F17" s="219">
        <v>55</v>
      </c>
      <c r="G17" s="219">
        <v>1</v>
      </c>
      <c r="J17" s="114" t="s">
        <v>116</v>
      </c>
      <c r="K17" s="220">
        <f t="shared" si="0"/>
        <v>132360621.96000001</v>
      </c>
      <c r="L17" s="220">
        <f t="shared" si="1"/>
        <v>913</v>
      </c>
      <c r="M17" s="220">
        <f t="shared" si="2"/>
        <v>132.36062196</v>
      </c>
      <c r="N17" s="108">
        <f t="shared" si="3"/>
        <v>13</v>
      </c>
    </row>
    <row r="18" spans="1:14">
      <c r="A18" s="101" t="s">
        <v>234</v>
      </c>
      <c r="B18" s="115" t="s">
        <v>1272</v>
      </c>
      <c r="C18" s="116" t="s">
        <v>144</v>
      </c>
      <c r="D18" s="115" t="s">
        <v>1273</v>
      </c>
      <c r="E18" s="214">
        <v>9396491.2899999991</v>
      </c>
      <c r="F18" s="219">
        <v>50</v>
      </c>
      <c r="G18" s="219">
        <v>1</v>
      </c>
      <c r="J18" s="114" t="s">
        <v>26</v>
      </c>
      <c r="K18" s="220">
        <f t="shared" si="0"/>
        <v>7457634.29</v>
      </c>
      <c r="L18" s="220">
        <f t="shared" si="1"/>
        <v>99</v>
      </c>
      <c r="M18" s="220">
        <f t="shared" si="2"/>
        <v>7.4576342899999997</v>
      </c>
      <c r="N18" s="108">
        <f t="shared" si="3"/>
        <v>2</v>
      </c>
    </row>
    <row r="19" spans="1:14">
      <c r="A19" s="101" t="s">
        <v>238</v>
      </c>
      <c r="B19" s="115" t="s">
        <v>1274</v>
      </c>
      <c r="C19" s="116" t="s">
        <v>118</v>
      </c>
      <c r="D19" s="115" t="s">
        <v>1273</v>
      </c>
      <c r="E19" s="214">
        <v>2208402.77</v>
      </c>
      <c r="F19" s="219">
        <v>23</v>
      </c>
      <c r="G19" s="219">
        <v>1</v>
      </c>
      <c r="J19" s="114" t="s">
        <v>118</v>
      </c>
      <c r="K19" s="220">
        <f t="shared" si="0"/>
        <v>7990796.1000000006</v>
      </c>
      <c r="L19" s="220">
        <f t="shared" si="1"/>
        <v>110</v>
      </c>
      <c r="M19" s="220">
        <f t="shared" si="2"/>
        <v>7.9907961000000007</v>
      </c>
      <c r="N19" s="108">
        <f t="shared" si="3"/>
        <v>5</v>
      </c>
    </row>
    <row r="20" spans="1:14">
      <c r="A20" s="101" t="s">
        <v>242</v>
      </c>
      <c r="B20" s="115" t="s">
        <v>1274</v>
      </c>
      <c r="C20" s="116" t="s">
        <v>129</v>
      </c>
      <c r="D20" s="115" t="s">
        <v>1271</v>
      </c>
      <c r="E20" s="214">
        <v>3724714.54</v>
      </c>
      <c r="F20" s="219">
        <v>30</v>
      </c>
      <c r="G20" s="219">
        <v>1</v>
      </c>
      <c r="J20" s="114" t="s">
        <v>27</v>
      </c>
      <c r="K20" s="220">
        <f t="shared" si="0"/>
        <v>2760823.32</v>
      </c>
      <c r="L20" s="220">
        <f t="shared" si="1"/>
        <v>57</v>
      </c>
      <c r="M20" s="220">
        <f t="shared" si="2"/>
        <v>2.7608233199999996</v>
      </c>
      <c r="N20" s="108">
        <f t="shared" si="3"/>
        <v>2</v>
      </c>
    </row>
    <row r="21" spans="1:14">
      <c r="A21" s="101" t="s">
        <v>244</v>
      </c>
      <c r="B21" s="115" t="s">
        <v>1274</v>
      </c>
      <c r="C21" s="116" t="s">
        <v>153</v>
      </c>
      <c r="D21" s="115" t="s">
        <v>1271</v>
      </c>
      <c r="E21" s="214">
        <v>1049430.28</v>
      </c>
      <c r="F21" s="219">
        <v>30</v>
      </c>
      <c r="G21" s="219">
        <v>1</v>
      </c>
      <c r="J21" s="114" t="s">
        <v>120</v>
      </c>
      <c r="K21" s="220">
        <f t="shared" si="0"/>
        <v>81576110.090000004</v>
      </c>
      <c r="L21" s="220">
        <f t="shared" si="1"/>
        <v>744</v>
      </c>
      <c r="M21" s="220">
        <f t="shared" si="2"/>
        <v>81.57611009</v>
      </c>
      <c r="N21" s="108">
        <f t="shared" si="3"/>
        <v>12</v>
      </c>
    </row>
    <row r="22" spans="1:14">
      <c r="A22" s="101" t="s">
        <v>246</v>
      </c>
      <c r="B22" s="115" t="s">
        <v>1274</v>
      </c>
      <c r="C22" s="116" t="s">
        <v>121</v>
      </c>
      <c r="D22" s="115" t="s">
        <v>1271</v>
      </c>
      <c r="E22" s="214">
        <v>1807945.33</v>
      </c>
      <c r="F22" s="219">
        <v>26</v>
      </c>
      <c r="G22" s="219">
        <v>1</v>
      </c>
      <c r="J22" s="114" t="s">
        <v>121</v>
      </c>
      <c r="K22" s="220">
        <f t="shared" si="0"/>
        <v>25103671.730000004</v>
      </c>
      <c r="L22" s="220">
        <f t="shared" si="1"/>
        <v>331</v>
      </c>
      <c r="M22" s="220">
        <f t="shared" si="2"/>
        <v>25.103671730000006</v>
      </c>
      <c r="N22" s="108">
        <f t="shared" si="3"/>
        <v>10</v>
      </c>
    </row>
    <row r="23" spans="1:14">
      <c r="A23" s="101" t="s">
        <v>248</v>
      </c>
      <c r="B23" s="115" t="s">
        <v>1274</v>
      </c>
      <c r="C23" s="116" t="s">
        <v>121</v>
      </c>
      <c r="D23" s="115" t="s">
        <v>1271</v>
      </c>
      <c r="E23" s="214">
        <v>1030359.58</v>
      </c>
      <c r="F23" s="219">
        <v>15</v>
      </c>
      <c r="G23" s="219">
        <v>1</v>
      </c>
      <c r="J23" s="114" t="s">
        <v>122</v>
      </c>
      <c r="K23" s="220">
        <f t="shared" si="0"/>
        <v>62253454.899999991</v>
      </c>
      <c r="L23" s="220">
        <f t="shared" si="1"/>
        <v>519</v>
      </c>
      <c r="M23" s="220">
        <f t="shared" si="2"/>
        <v>62.253454899999994</v>
      </c>
      <c r="N23" s="108">
        <f t="shared" si="3"/>
        <v>9</v>
      </c>
    </row>
    <row r="24" spans="1:14">
      <c r="A24" s="101" t="s">
        <v>250</v>
      </c>
      <c r="B24" s="115" t="s">
        <v>1274</v>
      </c>
      <c r="C24" s="116" t="s">
        <v>121</v>
      </c>
      <c r="D24" s="115" t="s">
        <v>1271</v>
      </c>
      <c r="E24" s="214">
        <v>4969776.13</v>
      </c>
      <c r="F24" s="219">
        <v>50</v>
      </c>
      <c r="G24" s="219">
        <v>1</v>
      </c>
      <c r="J24" s="114" t="s">
        <v>28</v>
      </c>
      <c r="K24" s="220">
        <f t="shared" si="0"/>
        <v>1942268.8599999999</v>
      </c>
      <c r="L24" s="220">
        <f t="shared" si="1"/>
        <v>45</v>
      </c>
      <c r="M24" s="220">
        <f t="shared" si="2"/>
        <v>1.9422688599999998</v>
      </c>
      <c r="N24" s="108">
        <f t="shared" si="3"/>
        <v>1</v>
      </c>
    </row>
    <row r="25" spans="1:14">
      <c r="A25" s="101" t="s">
        <v>1319</v>
      </c>
      <c r="B25" s="115" t="s">
        <v>1274</v>
      </c>
      <c r="C25" s="116" t="s">
        <v>121</v>
      </c>
      <c r="D25" s="115" t="s">
        <v>1271</v>
      </c>
      <c r="E25" s="214">
        <v>2992669.13</v>
      </c>
      <c r="F25" s="219">
        <v>37</v>
      </c>
      <c r="G25" s="219">
        <v>1</v>
      </c>
      <c r="J25" s="114" t="s">
        <v>124</v>
      </c>
      <c r="K25" s="220">
        <f t="shared" si="0"/>
        <v>74244676.719999999</v>
      </c>
      <c r="L25" s="220">
        <f t="shared" si="1"/>
        <v>780</v>
      </c>
      <c r="M25" s="220">
        <f t="shared" si="2"/>
        <v>74.244676720000001</v>
      </c>
      <c r="N25" s="108">
        <f t="shared" si="3"/>
        <v>11</v>
      </c>
    </row>
    <row r="26" spans="1:14">
      <c r="A26" s="101" t="s">
        <v>254</v>
      </c>
      <c r="B26" s="115" t="s">
        <v>1272</v>
      </c>
      <c r="C26" s="116" t="s">
        <v>39</v>
      </c>
      <c r="D26" s="115" t="s">
        <v>1273</v>
      </c>
      <c r="E26" s="214">
        <v>4748986.16</v>
      </c>
      <c r="F26" s="219">
        <v>32</v>
      </c>
      <c r="G26" s="219">
        <v>1</v>
      </c>
      <c r="J26" s="114" t="s">
        <v>125</v>
      </c>
      <c r="K26" s="220">
        <f t="shared" si="0"/>
        <v>7039926.4100000001</v>
      </c>
      <c r="L26" s="220">
        <f t="shared" si="1"/>
        <v>120</v>
      </c>
      <c r="M26" s="220">
        <f t="shared" si="2"/>
        <v>7.0399264100000005</v>
      </c>
      <c r="N26" s="108">
        <f t="shared" si="3"/>
        <v>4</v>
      </c>
    </row>
    <row r="27" spans="1:14">
      <c r="A27" s="101" t="s">
        <v>256</v>
      </c>
      <c r="B27" s="115" t="s">
        <v>1272</v>
      </c>
      <c r="C27" s="116" t="s">
        <v>161</v>
      </c>
      <c r="D27" s="115" t="s">
        <v>1273</v>
      </c>
      <c r="E27" s="214">
        <v>6024652.75</v>
      </c>
      <c r="F27" s="219">
        <v>45</v>
      </c>
      <c r="G27" s="219">
        <v>1</v>
      </c>
      <c r="J27" s="114" t="s">
        <v>126</v>
      </c>
      <c r="K27" s="220">
        <f t="shared" si="0"/>
        <v>0</v>
      </c>
      <c r="L27" s="220">
        <f t="shared" si="1"/>
        <v>0</v>
      </c>
      <c r="M27" s="220">
        <f t="shared" si="2"/>
        <v>0</v>
      </c>
      <c r="N27" s="108">
        <f t="shared" si="3"/>
        <v>0</v>
      </c>
    </row>
    <row r="28" spans="1:14">
      <c r="A28" s="101" t="s">
        <v>262</v>
      </c>
      <c r="B28" s="115" t="s">
        <v>1274</v>
      </c>
      <c r="C28" s="116" t="s">
        <v>105</v>
      </c>
      <c r="D28" s="115" t="s">
        <v>1271</v>
      </c>
      <c r="E28" s="214">
        <v>5339168.5</v>
      </c>
      <c r="F28" s="219">
        <v>50</v>
      </c>
      <c r="G28" s="219">
        <v>1</v>
      </c>
      <c r="J28" s="114" t="s">
        <v>127</v>
      </c>
      <c r="K28" s="220">
        <f t="shared" si="0"/>
        <v>50671967.860000014</v>
      </c>
      <c r="L28" s="220">
        <f t="shared" si="1"/>
        <v>655</v>
      </c>
      <c r="M28" s="220">
        <f t="shared" si="2"/>
        <v>50.671967860000017</v>
      </c>
      <c r="N28" s="108">
        <f t="shared" si="3"/>
        <v>11</v>
      </c>
    </row>
    <row r="29" spans="1:14">
      <c r="A29" s="101" t="s">
        <v>258</v>
      </c>
      <c r="B29" s="115" t="s">
        <v>1274</v>
      </c>
      <c r="C29" s="116" t="s">
        <v>105</v>
      </c>
      <c r="D29" s="115" t="s">
        <v>1271</v>
      </c>
      <c r="E29" s="214">
        <v>2218840.7999999998</v>
      </c>
      <c r="F29" s="219">
        <v>34</v>
      </c>
      <c r="G29" s="219">
        <v>1</v>
      </c>
      <c r="J29" s="117" t="s">
        <v>128</v>
      </c>
      <c r="K29" s="220">
        <f t="shared" si="0"/>
        <v>119311877.92999999</v>
      </c>
      <c r="L29" s="220">
        <f t="shared" si="1"/>
        <v>957</v>
      </c>
      <c r="M29" s="220">
        <f t="shared" si="2"/>
        <v>119.31187792999999</v>
      </c>
      <c r="N29" s="108">
        <f t="shared" si="3"/>
        <v>15</v>
      </c>
    </row>
    <row r="30" spans="1:14">
      <c r="A30" s="101" t="s">
        <v>260</v>
      </c>
      <c r="B30" s="115" t="s">
        <v>1274</v>
      </c>
      <c r="C30" s="116" t="s">
        <v>105</v>
      </c>
      <c r="D30" s="115" t="s">
        <v>1271</v>
      </c>
      <c r="E30" s="214">
        <v>3181308.1100000003</v>
      </c>
      <c r="F30" s="219">
        <v>54</v>
      </c>
      <c r="G30" s="219">
        <v>1</v>
      </c>
      <c r="J30" s="114" t="s">
        <v>129</v>
      </c>
      <c r="K30" s="220">
        <f t="shared" si="0"/>
        <v>119070099.03999999</v>
      </c>
      <c r="L30" s="220">
        <f t="shared" si="1"/>
        <v>1274</v>
      </c>
      <c r="M30" s="220">
        <f t="shared" si="2"/>
        <v>119.07009903999999</v>
      </c>
      <c r="N30" s="108">
        <f t="shared" si="3"/>
        <v>25</v>
      </c>
    </row>
    <row r="31" spans="1:14">
      <c r="A31" s="101" t="s">
        <v>268</v>
      </c>
      <c r="B31" s="115" t="s">
        <v>1272</v>
      </c>
      <c r="C31" s="116" t="s">
        <v>146</v>
      </c>
      <c r="D31" s="115" t="s">
        <v>1273</v>
      </c>
      <c r="E31" s="214">
        <v>2716311.82</v>
      </c>
      <c r="F31" s="219">
        <v>22</v>
      </c>
      <c r="G31" s="219">
        <v>1</v>
      </c>
      <c r="J31" s="114" t="s">
        <v>130</v>
      </c>
      <c r="K31" s="220">
        <f t="shared" si="0"/>
        <v>34161100.280000001</v>
      </c>
      <c r="L31" s="220">
        <f t="shared" si="1"/>
        <v>329</v>
      </c>
      <c r="M31" s="220">
        <f t="shared" si="2"/>
        <v>34.161100279999999</v>
      </c>
      <c r="N31" s="108">
        <f t="shared" si="3"/>
        <v>8</v>
      </c>
    </row>
    <row r="32" spans="1:14">
      <c r="A32" s="101" t="s">
        <v>270</v>
      </c>
      <c r="B32" s="115" t="s">
        <v>1272</v>
      </c>
      <c r="C32" s="116" t="s">
        <v>155</v>
      </c>
      <c r="D32" s="115" t="s">
        <v>1273</v>
      </c>
      <c r="E32" s="214">
        <v>5294961.25</v>
      </c>
      <c r="F32" s="219">
        <v>45</v>
      </c>
      <c r="G32" s="219">
        <v>1</v>
      </c>
      <c r="J32" s="114" t="s">
        <v>29</v>
      </c>
      <c r="K32" s="220">
        <f t="shared" si="0"/>
        <v>2656921.9500000002</v>
      </c>
      <c r="L32" s="220">
        <f t="shared" si="1"/>
        <v>50</v>
      </c>
      <c r="M32" s="220">
        <f t="shared" si="2"/>
        <v>2.6569219500000001</v>
      </c>
      <c r="N32" s="108">
        <f t="shared" si="3"/>
        <v>2</v>
      </c>
    </row>
    <row r="33" spans="1:14">
      <c r="A33" s="101" t="s">
        <v>272</v>
      </c>
      <c r="B33" s="115" t="s">
        <v>1272</v>
      </c>
      <c r="C33" s="116" t="s">
        <v>138</v>
      </c>
      <c r="D33" s="115" t="s">
        <v>1273</v>
      </c>
      <c r="E33" s="214">
        <v>8679495.1799999997</v>
      </c>
      <c r="F33" s="219">
        <v>80</v>
      </c>
      <c r="G33" s="219">
        <v>1</v>
      </c>
      <c r="J33" s="114" t="s">
        <v>132</v>
      </c>
      <c r="K33" s="220">
        <f t="shared" si="0"/>
        <v>0</v>
      </c>
      <c r="L33" s="220">
        <f t="shared" si="1"/>
        <v>0</v>
      </c>
      <c r="M33" s="220">
        <f t="shared" si="2"/>
        <v>0</v>
      </c>
      <c r="N33" s="108">
        <f t="shared" si="3"/>
        <v>0</v>
      </c>
    </row>
    <row r="34" spans="1:14">
      <c r="A34" s="101" t="s">
        <v>278</v>
      </c>
      <c r="B34" s="115" t="s">
        <v>1274</v>
      </c>
      <c r="C34" s="116" t="s">
        <v>129</v>
      </c>
      <c r="D34" s="115" t="s">
        <v>1271</v>
      </c>
      <c r="E34" s="214">
        <v>736870.33000000007</v>
      </c>
      <c r="F34" s="219">
        <v>28</v>
      </c>
      <c r="G34" s="219">
        <v>1</v>
      </c>
      <c r="J34" s="114" t="s">
        <v>133</v>
      </c>
      <c r="K34" s="220">
        <f t="shared" si="0"/>
        <v>47042973.650000006</v>
      </c>
      <c r="L34" s="220">
        <f t="shared" si="1"/>
        <v>535</v>
      </c>
      <c r="M34" s="220">
        <f t="shared" si="2"/>
        <v>47.042973650000008</v>
      </c>
      <c r="N34" s="108">
        <f t="shared" si="3"/>
        <v>9</v>
      </c>
    </row>
    <row r="35" spans="1:14">
      <c r="A35" s="101" t="s">
        <v>276</v>
      </c>
      <c r="B35" s="115" t="s">
        <v>1272</v>
      </c>
      <c r="C35" s="116" t="s">
        <v>161</v>
      </c>
      <c r="D35" s="115" t="s">
        <v>1273</v>
      </c>
      <c r="E35" s="214">
        <v>3496679.38</v>
      </c>
      <c r="F35" s="219">
        <v>40</v>
      </c>
      <c r="G35" s="219">
        <v>1</v>
      </c>
      <c r="J35" s="114" t="s">
        <v>134</v>
      </c>
      <c r="K35" s="220">
        <f t="shared" si="0"/>
        <v>9923476.1099999994</v>
      </c>
      <c r="L35" s="220">
        <f t="shared" si="1"/>
        <v>152</v>
      </c>
      <c r="M35" s="220">
        <f t="shared" si="2"/>
        <v>9.9234761099999993</v>
      </c>
      <c r="N35" s="108">
        <f t="shared" si="3"/>
        <v>3</v>
      </c>
    </row>
    <row r="36" spans="1:14">
      <c r="A36" s="101" t="s">
        <v>280</v>
      </c>
      <c r="B36" s="115" t="s">
        <v>1274</v>
      </c>
      <c r="C36" s="116" t="s">
        <v>110</v>
      </c>
      <c r="D36" s="115" t="s">
        <v>1271</v>
      </c>
      <c r="E36" s="214">
        <v>2416825.5099999998</v>
      </c>
      <c r="F36" s="219">
        <v>50</v>
      </c>
      <c r="G36" s="219">
        <v>1</v>
      </c>
      <c r="J36" s="114" t="s">
        <v>135</v>
      </c>
      <c r="K36" s="220">
        <f t="shared" si="0"/>
        <v>111695894.07999998</v>
      </c>
      <c r="L36" s="220">
        <f t="shared" si="1"/>
        <v>833</v>
      </c>
      <c r="M36" s="220">
        <f t="shared" si="2"/>
        <v>111.69589407999999</v>
      </c>
      <c r="N36" s="108">
        <f t="shared" si="3"/>
        <v>14</v>
      </c>
    </row>
    <row r="37" spans="1:14">
      <c r="A37" s="101" t="s">
        <v>282</v>
      </c>
      <c r="B37" s="115" t="s">
        <v>1274</v>
      </c>
      <c r="C37" s="116" t="s">
        <v>110</v>
      </c>
      <c r="D37" s="115" t="s">
        <v>1271</v>
      </c>
      <c r="E37" s="214">
        <v>870437.71</v>
      </c>
      <c r="F37" s="219">
        <v>25</v>
      </c>
      <c r="G37" s="219">
        <v>1</v>
      </c>
      <c r="J37" s="114" t="s">
        <v>136</v>
      </c>
      <c r="K37" s="220">
        <f t="shared" si="0"/>
        <v>0</v>
      </c>
      <c r="L37" s="220">
        <f t="shared" si="1"/>
        <v>0</v>
      </c>
      <c r="M37" s="220">
        <f t="shared" si="2"/>
        <v>0</v>
      </c>
      <c r="N37" s="108">
        <f t="shared" si="3"/>
        <v>0</v>
      </c>
    </row>
    <row r="38" spans="1:14">
      <c r="A38" s="101" t="s">
        <v>284</v>
      </c>
      <c r="B38" s="115" t="s">
        <v>1274</v>
      </c>
      <c r="C38" s="116" t="s">
        <v>127</v>
      </c>
      <c r="D38" s="115" t="s">
        <v>1271</v>
      </c>
      <c r="E38" s="214">
        <v>8164519.8900000006</v>
      </c>
      <c r="F38" s="219">
        <v>93</v>
      </c>
      <c r="G38" s="219">
        <v>1</v>
      </c>
      <c r="J38" s="114" t="s">
        <v>137</v>
      </c>
      <c r="K38" s="220">
        <f t="shared" si="0"/>
        <v>85701350.430000007</v>
      </c>
      <c r="L38" s="220">
        <f t="shared" si="1"/>
        <v>902</v>
      </c>
      <c r="M38" s="220">
        <f t="shared" si="2"/>
        <v>85.701350430000005</v>
      </c>
      <c r="N38" s="108">
        <f t="shared" si="3"/>
        <v>16</v>
      </c>
    </row>
    <row r="39" spans="1:14">
      <c r="A39" s="101" t="s">
        <v>286</v>
      </c>
      <c r="B39" s="115" t="s">
        <v>1274</v>
      </c>
      <c r="C39" s="116" t="s">
        <v>127</v>
      </c>
      <c r="D39" s="115" t="s">
        <v>1271</v>
      </c>
      <c r="E39" s="214">
        <v>6369865.7999999998</v>
      </c>
      <c r="F39" s="219">
        <v>105</v>
      </c>
      <c r="G39" s="219">
        <v>1</v>
      </c>
      <c r="J39" s="114" t="s">
        <v>138</v>
      </c>
      <c r="K39" s="220">
        <f t="shared" si="0"/>
        <v>73890071.239999995</v>
      </c>
      <c r="L39" s="220">
        <f t="shared" si="1"/>
        <v>767</v>
      </c>
      <c r="M39" s="220">
        <f t="shared" si="2"/>
        <v>73.890071239999997</v>
      </c>
      <c r="N39" s="108">
        <f t="shared" si="3"/>
        <v>11</v>
      </c>
    </row>
    <row r="40" spans="1:14">
      <c r="A40" s="101" t="s">
        <v>288</v>
      </c>
      <c r="B40" s="115" t="s">
        <v>1272</v>
      </c>
      <c r="C40" s="116" t="s">
        <v>124</v>
      </c>
      <c r="D40" s="115" t="s">
        <v>1271</v>
      </c>
      <c r="E40" s="214">
        <v>2865942.4299999997</v>
      </c>
      <c r="F40" s="219">
        <v>88</v>
      </c>
      <c r="G40" s="219">
        <v>1</v>
      </c>
      <c r="J40" s="114" t="s">
        <v>139</v>
      </c>
      <c r="K40" s="220">
        <f t="shared" si="0"/>
        <v>46054599.849999994</v>
      </c>
      <c r="L40" s="220">
        <f t="shared" si="1"/>
        <v>522</v>
      </c>
      <c r="M40" s="220">
        <f t="shared" si="2"/>
        <v>46.054599849999995</v>
      </c>
      <c r="N40" s="108">
        <f t="shared" si="3"/>
        <v>13</v>
      </c>
    </row>
    <row r="41" spans="1:14">
      <c r="A41" s="101" t="s">
        <v>290</v>
      </c>
      <c r="B41" s="115" t="s">
        <v>1272</v>
      </c>
      <c r="C41" s="116" t="s">
        <v>124</v>
      </c>
      <c r="D41" s="115" t="s">
        <v>1271</v>
      </c>
      <c r="E41" s="214">
        <v>8356966.7400000002</v>
      </c>
      <c r="F41" s="219">
        <v>90</v>
      </c>
      <c r="G41" s="219">
        <v>1</v>
      </c>
      <c r="J41" s="114" t="s">
        <v>140</v>
      </c>
      <c r="K41" s="220">
        <f t="shared" si="0"/>
        <v>0</v>
      </c>
      <c r="L41" s="220">
        <f t="shared" si="1"/>
        <v>0</v>
      </c>
      <c r="M41" s="220">
        <f t="shared" si="2"/>
        <v>0</v>
      </c>
      <c r="N41" s="108">
        <f t="shared" si="3"/>
        <v>0</v>
      </c>
    </row>
    <row r="42" spans="1:14">
      <c r="A42" s="101" t="s">
        <v>292</v>
      </c>
      <c r="B42" s="115" t="s">
        <v>1272</v>
      </c>
      <c r="C42" s="116" t="s">
        <v>116</v>
      </c>
      <c r="D42" s="115" t="s">
        <v>1273</v>
      </c>
      <c r="E42" s="214">
        <v>9701749.9100000001</v>
      </c>
      <c r="F42" s="219">
        <v>63</v>
      </c>
      <c r="G42" s="219">
        <v>1</v>
      </c>
      <c r="J42" s="114" t="s">
        <v>141</v>
      </c>
      <c r="K42" s="220">
        <f t="shared" si="0"/>
        <v>9594189.790000001</v>
      </c>
      <c r="L42" s="220">
        <f t="shared" si="1"/>
        <v>103</v>
      </c>
      <c r="M42" s="220">
        <f t="shared" si="2"/>
        <v>9.5941897900000015</v>
      </c>
      <c r="N42" s="108">
        <f t="shared" si="3"/>
        <v>3</v>
      </c>
    </row>
    <row r="43" spans="1:14">
      <c r="A43" s="101" t="s">
        <v>294</v>
      </c>
      <c r="B43" s="115" t="s">
        <v>1272</v>
      </c>
      <c r="C43" s="116" t="s">
        <v>116</v>
      </c>
      <c r="D43" s="115" t="s">
        <v>1273</v>
      </c>
      <c r="E43" s="214">
        <v>19695647.829999998</v>
      </c>
      <c r="F43" s="219">
        <v>105</v>
      </c>
      <c r="G43" s="219">
        <v>1</v>
      </c>
      <c r="J43" s="114" t="s">
        <v>142</v>
      </c>
      <c r="K43" s="220">
        <f t="shared" si="0"/>
        <v>56358630.18999999</v>
      </c>
      <c r="L43" s="220">
        <f t="shared" si="1"/>
        <v>522</v>
      </c>
      <c r="M43" s="220">
        <f t="shared" si="2"/>
        <v>56.358630189999992</v>
      </c>
      <c r="N43" s="108">
        <f t="shared" si="3"/>
        <v>7</v>
      </c>
    </row>
    <row r="44" spans="1:14">
      <c r="A44" s="101" t="s">
        <v>296</v>
      </c>
      <c r="B44" s="115" t="s">
        <v>1274</v>
      </c>
      <c r="C44" s="116" t="s">
        <v>181</v>
      </c>
      <c r="D44" s="115" t="s">
        <v>1273</v>
      </c>
      <c r="E44" s="214">
        <v>1667424.02</v>
      </c>
      <c r="F44" s="219">
        <v>30</v>
      </c>
      <c r="G44" s="219">
        <v>1</v>
      </c>
      <c r="J44" s="114" t="s">
        <v>30</v>
      </c>
      <c r="K44" s="220">
        <f t="shared" si="0"/>
        <v>1533604.16</v>
      </c>
      <c r="L44" s="220">
        <f t="shared" si="1"/>
        <v>40</v>
      </c>
      <c r="M44" s="220">
        <f t="shared" si="2"/>
        <v>1.5336041599999999</v>
      </c>
      <c r="N44" s="108">
        <f t="shared" si="3"/>
        <v>1</v>
      </c>
    </row>
    <row r="45" spans="1:14">
      <c r="A45" s="101" t="s">
        <v>298</v>
      </c>
      <c r="B45" s="115" t="s">
        <v>1272</v>
      </c>
      <c r="C45" s="116" t="s">
        <v>38</v>
      </c>
      <c r="D45" s="115" t="s">
        <v>1273</v>
      </c>
      <c r="E45" s="214">
        <v>7892748.5499999998</v>
      </c>
      <c r="F45" s="219">
        <v>66</v>
      </c>
      <c r="G45" s="219">
        <v>1</v>
      </c>
      <c r="J45" s="114" t="s">
        <v>144</v>
      </c>
      <c r="K45" s="220">
        <f t="shared" si="0"/>
        <v>57257924.75</v>
      </c>
      <c r="L45" s="220">
        <f t="shared" si="1"/>
        <v>471</v>
      </c>
      <c r="M45" s="220">
        <f t="shared" si="2"/>
        <v>57.257924750000001</v>
      </c>
      <c r="N45" s="108">
        <f t="shared" si="3"/>
        <v>9</v>
      </c>
    </row>
    <row r="46" spans="1:14">
      <c r="A46" s="101" t="s">
        <v>300</v>
      </c>
      <c r="B46" s="115" t="s">
        <v>1274</v>
      </c>
      <c r="C46" s="116" t="s">
        <v>181</v>
      </c>
      <c r="D46" s="115" t="s">
        <v>1273</v>
      </c>
      <c r="E46" s="214">
        <v>1342959.17</v>
      </c>
      <c r="F46" s="219">
        <v>25</v>
      </c>
      <c r="G46" s="219">
        <v>1</v>
      </c>
      <c r="J46" s="114" t="s">
        <v>145</v>
      </c>
      <c r="K46" s="220">
        <f t="shared" si="0"/>
        <v>62861488.650000006</v>
      </c>
      <c r="L46" s="220">
        <f t="shared" si="1"/>
        <v>759</v>
      </c>
      <c r="M46" s="220">
        <f t="shared" si="2"/>
        <v>62.861488650000005</v>
      </c>
      <c r="N46" s="108">
        <f t="shared" si="3"/>
        <v>10</v>
      </c>
    </row>
    <row r="47" spans="1:14">
      <c r="A47" s="101" t="s">
        <v>302</v>
      </c>
      <c r="B47" s="115" t="s">
        <v>1274</v>
      </c>
      <c r="C47" s="116" t="s">
        <v>105</v>
      </c>
      <c r="D47" s="115" t="s">
        <v>1273</v>
      </c>
      <c r="E47" s="214">
        <v>5975430.8900000006</v>
      </c>
      <c r="F47" s="219">
        <v>40</v>
      </c>
      <c r="G47" s="219">
        <v>1</v>
      </c>
      <c r="J47" s="114" t="s">
        <v>146</v>
      </c>
      <c r="K47" s="220">
        <f t="shared" si="0"/>
        <v>84505931.590000004</v>
      </c>
      <c r="L47" s="220">
        <f t="shared" si="1"/>
        <v>702</v>
      </c>
      <c r="M47" s="220">
        <f t="shared" si="2"/>
        <v>84.505931590000003</v>
      </c>
      <c r="N47" s="108">
        <f t="shared" si="3"/>
        <v>10</v>
      </c>
    </row>
    <row r="48" spans="1:14">
      <c r="A48" s="101" t="s">
        <v>304</v>
      </c>
      <c r="B48" s="115" t="s">
        <v>1272</v>
      </c>
      <c r="C48" s="116" t="s">
        <v>124</v>
      </c>
      <c r="D48" s="115" t="s">
        <v>1273</v>
      </c>
      <c r="E48" s="214">
        <v>9581039.4900000002</v>
      </c>
      <c r="F48" s="219">
        <v>75</v>
      </c>
      <c r="G48" s="219">
        <v>1</v>
      </c>
      <c r="J48" s="114" t="s">
        <v>147</v>
      </c>
      <c r="K48" s="220">
        <f t="shared" si="0"/>
        <v>67781774.819999993</v>
      </c>
      <c r="L48" s="220">
        <f t="shared" si="1"/>
        <v>515</v>
      </c>
      <c r="M48" s="220">
        <f t="shared" si="2"/>
        <v>67.781774819999995</v>
      </c>
      <c r="N48" s="108">
        <f t="shared" si="3"/>
        <v>7</v>
      </c>
    </row>
    <row r="49" spans="1:14">
      <c r="A49" s="101" t="s">
        <v>306</v>
      </c>
      <c r="B49" s="115" t="s">
        <v>1272</v>
      </c>
      <c r="C49" s="116" t="s">
        <v>146</v>
      </c>
      <c r="D49" s="115" t="s">
        <v>1273</v>
      </c>
      <c r="E49" s="214">
        <v>15697011.190000001</v>
      </c>
      <c r="F49" s="219">
        <v>100</v>
      </c>
      <c r="G49" s="219">
        <v>1</v>
      </c>
      <c r="J49" s="114" t="s">
        <v>148</v>
      </c>
      <c r="K49" s="220">
        <f t="shared" si="0"/>
        <v>29990565.099999998</v>
      </c>
      <c r="L49" s="220">
        <f t="shared" si="1"/>
        <v>280</v>
      </c>
      <c r="M49" s="220">
        <f t="shared" si="2"/>
        <v>29.990565099999998</v>
      </c>
      <c r="N49" s="108">
        <f t="shared" si="3"/>
        <v>8</v>
      </c>
    </row>
    <row r="50" spans="1:14">
      <c r="A50" s="101" t="s">
        <v>308</v>
      </c>
      <c r="B50" s="115" t="s">
        <v>1272</v>
      </c>
      <c r="C50" s="116" t="s">
        <v>38</v>
      </c>
      <c r="D50" s="115" t="s">
        <v>1271</v>
      </c>
      <c r="E50" s="214">
        <v>3160061.15</v>
      </c>
      <c r="F50" s="219">
        <v>39</v>
      </c>
      <c r="G50" s="219">
        <v>1</v>
      </c>
      <c r="J50" s="114" t="s">
        <v>149</v>
      </c>
      <c r="K50" s="220">
        <f t="shared" si="0"/>
        <v>18943555.48</v>
      </c>
      <c r="L50" s="220">
        <f t="shared" si="1"/>
        <v>204</v>
      </c>
      <c r="M50" s="220">
        <f t="shared" si="2"/>
        <v>18.943555480000001</v>
      </c>
      <c r="N50" s="108">
        <f t="shared" si="3"/>
        <v>5</v>
      </c>
    </row>
    <row r="51" spans="1:14">
      <c r="A51" s="101" t="s">
        <v>310</v>
      </c>
      <c r="B51" s="115" t="s">
        <v>1272</v>
      </c>
      <c r="C51" s="116" t="s">
        <v>38</v>
      </c>
      <c r="D51" s="115" t="s">
        <v>1271</v>
      </c>
      <c r="E51" s="214">
        <v>8987499.0300000012</v>
      </c>
      <c r="F51" s="219">
        <v>103</v>
      </c>
      <c r="G51" s="219">
        <v>1</v>
      </c>
      <c r="J51" s="114" t="s">
        <v>31</v>
      </c>
      <c r="K51" s="220">
        <f t="shared" si="0"/>
        <v>4083577.8</v>
      </c>
      <c r="L51" s="220">
        <f t="shared" si="1"/>
        <v>102</v>
      </c>
      <c r="M51" s="220">
        <f t="shared" si="2"/>
        <v>4.0835777999999996</v>
      </c>
      <c r="N51" s="108">
        <f t="shared" si="3"/>
        <v>2</v>
      </c>
    </row>
    <row r="52" spans="1:14">
      <c r="A52" s="101" t="s">
        <v>312</v>
      </c>
      <c r="B52" s="115" t="s">
        <v>1272</v>
      </c>
      <c r="C52" s="116" t="s">
        <v>144</v>
      </c>
      <c r="D52" s="115" t="s">
        <v>1273</v>
      </c>
      <c r="E52" s="214">
        <v>7619723.5999999996</v>
      </c>
      <c r="F52" s="219">
        <v>45</v>
      </c>
      <c r="G52" s="219">
        <v>1</v>
      </c>
      <c r="J52" s="114" t="s">
        <v>151</v>
      </c>
      <c r="K52" s="220">
        <f t="shared" si="0"/>
        <v>110209894.94</v>
      </c>
      <c r="L52" s="220">
        <f t="shared" si="1"/>
        <v>955</v>
      </c>
      <c r="M52" s="220">
        <f t="shared" si="2"/>
        <v>110.20989494</v>
      </c>
      <c r="N52" s="108">
        <f t="shared" si="3"/>
        <v>15</v>
      </c>
    </row>
    <row r="53" spans="1:14">
      <c r="A53" s="101" t="s">
        <v>314</v>
      </c>
      <c r="B53" s="115" t="s">
        <v>1272</v>
      </c>
      <c r="C53" s="116" t="s">
        <v>174</v>
      </c>
      <c r="D53" s="115" t="s">
        <v>1273</v>
      </c>
      <c r="E53" s="214">
        <v>10432105.59</v>
      </c>
      <c r="F53" s="219">
        <v>60</v>
      </c>
      <c r="G53" s="219">
        <v>1</v>
      </c>
      <c r="J53" s="114" t="s">
        <v>152</v>
      </c>
      <c r="K53" s="220">
        <f t="shared" si="0"/>
        <v>77650758.560000002</v>
      </c>
      <c r="L53" s="220">
        <f t="shared" si="1"/>
        <v>745</v>
      </c>
      <c r="M53" s="220">
        <f t="shared" si="2"/>
        <v>77.65075856</v>
      </c>
      <c r="N53" s="108">
        <f t="shared" si="3"/>
        <v>11</v>
      </c>
    </row>
    <row r="54" spans="1:14">
      <c r="A54" s="101" t="s">
        <v>316</v>
      </c>
      <c r="B54" s="115" t="s">
        <v>1272</v>
      </c>
      <c r="C54" s="116" t="s">
        <v>135</v>
      </c>
      <c r="D54" s="115" t="s">
        <v>1271</v>
      </c>
      <c r="E54" s="214">
        <v>2659522.2999999998</v>
      </c>
      <c r="F54" s="219">
        <v>55</v>
      </c>
      <c r="G54" s="219">
        <v>1</v>
      </c>
      <c r="J54" s="114" t="s">
        <v>153</v>
      </c>
      <c r="K54" s="220">
        <f t="shared" si="0"/>
        <v>9683821.870000001</v>
      </c>
      <c r="L54" s="220">
        <f t="shared" si="1"/>
        <v>110</v>
      </c>
      <c r="M54" s="220">
        <f t="shared" si="2"/>
        <v>9.6838218700000009</v>
      </c>
      <c r="N54" s="108">
        <f t="shared" si="3"/>
        <v>3</v>
      </c>
    </row>
    <row r="55" spans="1:14">
      <c r="A55" s="101" t="s">
        <v>318</v>
      </c>
      <c r="B55" s="115" t="s">
        <v>1272</v>
      </c>
      <c r="C55" s="116" t="s">
        <v>154</v>
      </c>
      <c r="D55" s="115" t="s">
        <v>1273</v>
      </c>
      <c r="E55" s="214">
        <v>5282233.3599999994</v>
      </c>
      <c r="F55" s="219">
        <v>35</v>
      </c>
      <c r="G55" s="219">
        <v>1</v>
      </c>
      <c r="J55" s="114" t="s">
        <v>154</v>
      </c>
      <c r="K55" s="220">
        <f t="shared" si="0"/>
        <v>61281700.849999994</v>
      </c>
      <c r="L55" s="220">
        <f t="shared" si="1"/>
        <v>586</v>
      </c>
      <c r="M55" s="220">
        <f t="shared" si="2"/>
        <v>61.281700849999993</v>
      </c>
      <c r="N55" s="108">
        <f t="shared" si="3"/>
        <v>11</v>
      </c>
    </row>
    <row r="56" spans="1:14">
      <c r="A56" s="101" t="s">
        <v>322</v>
      </c>
      <c r="B56" s="115" t="s">
        <v>1272</v>
      </c>
      <c r="C56" s="116" t="s">
        <v>174</v>
      </c>
      <c r="D56" s="115" t="s">
        <v>1273</v>
      </c>
      <c r="E56" s="214">
        <v>17944002.759999998</v>
      </c>
      <c r="F56" s="219">
        <v>96</v>
      </c>
      <c r="G56" s="219">
        <v>1</v>
      </c>
      <c r="J56" s="114" t="s">
        <v>155</v>
      </c>
      <c r="K56" s="220">
        <f t="shared" si="0"/>
        <v>83357567.149999976</v>
      </c>
      <c r="L56" s="220">
        <f t="shared" si="1"/>
        <v>825</v>
      </c>
      <c r="M56" s="220">
        <f t="shared" si="2"/>
        <v>83.35756714999998</v>
      </c>
      <c r="N56" s="108">
        <f t="shared" si="3"/>
        <v>17</v>
      </c>
    </row>
    <row r="57" spans="1:14">
      <c r="A57" s="101" t="s">
        <v>324</v>
      </c>
      <c r="B57" s="115" t="s">
        <v>1272</v>
      </c>
      <c r="C57" s="116" t="s">
        <v>38</v>
      </c>
      <c r="D57" s="115" t="s">
        <v>1273</v>
      </c>
      <c r="E57" s="214">
        <v>10596157.07</v>
      </c>
      <c r="F57" s="219">
        <v>73</v>
      </c>
      <c r="G57" s="219">
        <v>1</v>
      </c>
      <c r="J57" s="114" t="s">
        <v>32</v>
      </c>
      <c r="K57" s="220">
        <f t="shared" si="0"/>
        <v>2991061.71</v>
      </c>
      <c r="L57" s="220">
        <f t="shared" si="1"/>
        <v>30</v>
      </c>
      <c r="M57" s="220">
        <f t="shared" si="2"/>
        <v>2.9910617099999999</v>
      </c>
      <c r="N57" s="108">
        <f t="shared" si="3"/>
        <v>1</v>
      </c>
    </row>
    <row r="58" spans="1:14">
      <c r="A58" s="101" t="s">
        <v>326</v>
      </c>
      <c r="B58" s="115" t="s">
        <v>1272</v>
      </c>
      <c r="C58" s="116" t="s">
        <v>115</v>
      </c>
      <c r="D58" s="115" t="s">
        <v>1271</v>
      </c>
      <c r="E58" s="214">
        <v>9366969</v>
      </c>
      <c r="F58" s="219">
        <v>105</v>
      </c>
      <c r="G58" s="219">
        <v>1</v>
      </c>
      <c r="J58" s="114" t="s">
        <v>157</v>
      </c>
      <c r="K58" s="220">
        <f t="shared" si="0"/>
        <v>0</v>
      </c>
      <c r="L58" s="220">
        <f t="shared" si="1"/>
        <v>0</v>
      </c>
      <c r="M58" s="220">
        <f t="shared" si="2"/>
        <v>0</v>
      </c>
      <c r="N58" s="108">
        <f t="shared" si="3"/>
        <v>0</v>
      </c>
    </row>
    <row r="59" spans="1:14">
      <c r="A59" s="101" t="s">
        <v>1293</v>
      </c>
      <c r="B59" s="115" t="s">
        <v>1272</v>
      </c>
      <c r="C59" s="116" t="s">
        <v>115</v>
      </c>
      <c r="D59" s="115" t="s">
        <v>1273</v>
      </c>
      <c r="E59" s="214">
        <v>2232522.04</v>
      </c>
      <c r="F59" s="219">
        <v>40</v>
      </c>
      <c r="G59" s="219">
        <v>1</v>
      </c>
      <c r="J59" s="114" t="s">
        <v>33</v>
      </c>
      <c r="K59" s="220">
        <f t="shared" si="0"/>
        <v>1442753.24</v>
      </c>
      <c r="L59" s="220">
        <f t="shared" si="1"/>
        <v>25</v>
      </c>
      <c r="M59" s="220">
        <f t="shared" si="2"/>
        <v>1.44275324</v>
      </c>
      <c r="N59" s="108">
        <f t="shared" si="3"/>
        <v>1</v>
      </c>
    </row>
    <row r="60" spans="1:14">
      <c r="A60" s="101" t="s">
        <v>328</v>
      </c>
      <c r="B60" s="115" t="s">
        <v>1272</v>
      </c>
      <c r="C60" s="116" t="s">
        <v>174</v>
      </c>
      <c r="D60" s="115" t="s">
        <v>1271</v>
      </c>
      <c r="E60" s="214">
        <v>6552411.9900000002</v>
      </c>
      <c r="F60" s="219">
        <v>75</v>
      </c>
      <c r="G60" s="219">
        <v>1</v>
      </c>
      <c r="J60" s="114" t="s">
        <v>159</v>
      </c>
      <c r="K60" s="220">
        <f t="shared" si="0"/>
        <v>9850088.2300000004</v>
      </c>
      <c r="L60" s="220">
        <f t="shared" si="1"/>
        <v>90</v>
      </c>
      <c r="M60" s="220">
        <f t="shared" si="2"/>
        <v>9.8500882300000008</v>
      </c>
      <c r="N60" s="108">
        <f t="shared" si="3"/>
        <v>2</v>
      </c>
    </row>
    <row r="61" spans="1:14">
      <c r="A61" s="101" t="s">
        <v>1429</v>
      </c>
      <c r="B61" s="115" t="s">
        <v>1272</v>
      </c>
      <c r="C61" s="116" t="s">
        <v>115</v>
      </c>
      <c r="D61" s="115" t="s">
        <v>1273</v>
      </c>
      <c r="E61" s="214">
        <v>5712499.3300000001</v>
      </c>
      <c r="F61" s="219">
        <v>50</v>
      </c>
      <c r="G61" s="219">
        <v>1</v>
      </c>
      <c r="J61" s="114" t="s">
        <v>160</v>
      </c>
      <c r="K61" s="220">
        <f t="shared" si="0"/>
        <v>4073506.1900000004</v>
      </c>
      <c r="L61" s="220">
        <f t="shared" si="1"/>
        <v>80</v>
      </c>
      <c r="M61" s="220">
        <f t="shared" si="2"/>
        <v>4.0735061900000007</v>
      </c>
      <c r="N61" s="108">
        <f t="shared" si="3"/>
        <v>2</v>
      </c>
    </row>
    <row r="62" spans="1:14">
      <c r="A62" s="101" t="s">
        <v>330</v>
      </c>
      <c r="B62" s="115" t="s">
        <v>1272</v>
      </c>
      <c r="C62" s="116" t="s">
        <v>124</v>
      </c>
      <c r="D62" s="115" t="s">
        <v>1271</v>
      </c>
      <c r="E62" s="214">
        <v>10856077.43</v>
      </c>
      <c r="F62" s="219">
        <v>105</v>
      </c>
      <c r="G62" s="219">
        <v>1</v>
      </c>
      <c r="J62" s="114" t="s">
        <v>161</v>
      </c>
      <c r="K62" s="220">
        <f t="shared" si="0"/>
        <v>28426650.629999999</v>
      </c>
      <c r="L62" s="220">
        <f t="shared" si="1"/>
        <v>377</v>
      </c>
      <c r="M62" s="220">
        <f t="shared" si="2"/>
        <v>28.426650629999997</v>
      </c>
      <c r="N62" s="108">
        <f t="shared" si="3"/>
        <v>10</v>
      </c>
    </row>
    <row r="63" spans="1:14">
      <c r="A63" s="101" t="s">
        <v>332</v>
      </c>
      <c r="B63" s="115" t="s">
        <v>1272</v>
      </c>
      <c r="C63" s="116" t="s">
        <v>124</v>
      </c>
      <c r="D63" s="115" t="s">
        <v>1271</v>
      </c>
      <c r="E63" s="214">
        <v>2445182.6799999997</v>
      </c>
      <c r="F63" s="219">
        <v>52</v>
      </c>
      <c r="G63" s="219">
        <v>1</v>
      </c>
      <c r="J63" s="114" t="s">
        <v>162</v>
      </c>
      <c r="K63" s="220">
        <f t="shared" si="0"/>
        <v>0</v>
      </c>
      <c r="L63" s="220">
        <f t="shared" si="1"/>
        <v>0</v>
      </c>
      <c r="M63" s="220">
        <f t="shared" si="2"/>
        <v>0</v>
      </c>
      <c r="N63" s="108">
        <f t="shared" si="3"/>
        <v>0</v>
      </c>
    </row>
    <row r="64" spans="1:14">
      <c r="A64" s="101" t="s">
        <v>336</v>
      </c>
      <c r="B64" s="115" t="s">
        <v>1272</v>
      </c>
      <c r="C64" s="116" t="s">
        <v>151</v>
      </c>
      <c r="D64" s="115" t="s">
        <v>1273</v>
      </c>
      <c r="E64" s="214">
        <v>9064057.2699999996</v>
      </c>
      <c r="F64" s="219">
        <v>65</v>
      </c>
      <c r="G64" s="219">
        <v>1</v>
      </c>
      <c r="J64" s="114" t="s">
        <v>34</v>
      </c>
      <c r="K64" s="220">
        <f t="shared" si="0"/>
        <v>0</v>
      </c>
      <c r="L64" s="220">
        <f t="shared" si="1"/>
        <v>0</v>
      </c>
      <c r="M64" s="220">
        <f t="shared" si="2"/>
        <v>0</v>
      </c>
      <c r="N64" s="108">
        <f t="shared" si="3"/>
        <v>0</v>
      </c>
    </row>
    <row r="65" spans="1:14">
      <c r="A65" s="101" t="s">
        <v>338</v>
      </c>
      <c r="B65" s="115" t="s">
        <v>1274</v>
      </c>
      <c r="C65" s="116" t="s">
        <v>190</v>
      </c>
      <c r="D65" s="115" t="s">
        <v>1271</v>
      </c>
      <c r="E65" s="214">
        <v>1048909.98</v>
      </c>
      <c r="F65" s="219">
        <v>33</v>
      </c>
      <c r="G65" s="219">
        <v>1</v>
      </c>
      <c r="J65" s="114" t="s">
        <v>164</v>
      </c>
      <c r="K65" s="220">
        <f t="shared" si="0"/>
        <v>6396812.5699999994</v>
      </c>
      <c r="L65" s="220">
        <f t="shared" si="1"/>
        <v>105</v>
      </c>
      <c r="M65" s="220">
        <f t="shared" si="2"/>
        <v>6.3968125699999998</v>
      </c>
      <c r="N65" s="108">
        <f t="shared" si="3"/>
        <v>4</v>
      </c>
    </row>
    <row r="66" spans="1:14">
      <c r="A66" s="101" t="s">
        <v>340</v>
      </c>
      <c r="B66" s="115" t="s">
        <v>1272</v>
      </c>
      <c r="C66" s="116" t="s">
        <v>137</v>
      </c>
      <c r="D66" s="115" t="s">
        <v>1273</v>
      </c>
      <c r="E66" s="214">
        <v>5726541.0600000005</v>
      </c>
      <c r="F66" s="219">
        <v>40</v>
      </c>
      <c r="G66" s="219">
        <v>1</v>
      </c>
      <c r="J66" s="114" t="s">
        <v>35</v>
      </c>
      <c r="K66" s="220">
        <f t="shared" si="0"/>
        <v>6239012.5499999998</v>
      </c>
      <c r="L66" s="220">
        <f t="shared" si="1"/>
        <v>75</v>
      </c>
      <c r="M66" s="220">
        <f t="shared" si="2"/>
        <v>6.23901255</v>
      </c>
      <c r="N66" s="108">
        <f t="shared" si="3"/>
        <v>2</v>
      </c>
    </row>
    <row r="67" spans="1:14">
      <c r="A67" s="101" t="s">
        <v>342</v>
      </c>
      <c r="B67" s="115" t="s">
        <v>1272</v>
      </c>
      <c r="C67" s="116" t="s">
        <v>137</v>
      </c>
      <c r="D67" s="115" t="s">
        <v>1271</v>
      </c>
      <c r="E67" s="214">
        <v>2903028.87</v>
      </c>
      <c r="F67" s="219">
        <v>41</v>
      </c>
      <c r="G67" s="219">
        <v>1</v>
      </c>
      <c r="J67" s="114" t="s">
        <v>166</v>
      </c>
      <c r="K67" s="220">
        <f t="shared" si="0"/>
        <v>19862345.299999997</v>
      </c>
      <c r="L67" s="220">
        <f t="shared" si="1"/>
        <v>244</v>
      </c>
      <c r="M67" s="220">
        <f t="shared" si="2"/>
        <v>19.862345299999998</v>
      </c>
      <c r="N67" s="108">
        <f t="shared" si="3"/>
        <v>7</v>
      </c>
    </row>
    <row r="68" spans="1:14">
      <c r="A68" s="101" t="s">
        <v>344</v>
      </c>
      <c r="B68" s="115" t="s">
        <v>1272</v>
      </c>
      <c r="C68" s="116" t="s">
        <v>142</v>
      </c>
      <c r="D68" s="115" t="s">
        <v>1273</v>
      </c>
      <c r="E68" s="214">
        <v>7596018.8200000003</v>
      </c>
      <c r="F68" s="219">
        <v>50</v>
      </c>
      <c r="G68" s="219">
        <v>1</v>
      </c>
      <c r="J68" s="114" t="s">
        <v>36</v>
      </c>
      <c r="K68" s="220">
        <f t="shared" si="0"/>
        <v>1483873.79</v>
      </c>
      <c r="L68" s="220">
        <f t="shared" si="1"/>
        <v>32</v>
      </c>
      <c r="M68" s="220">
        <f t="shared" si="2"/>
        <v>1.4838737900000001</v>
      </c>
      <c r="N68" s="108">
        <f t="shared" si="3"/>
        <v>1</v>
      </c>
    </row>
    <row r="69" spans="1:14">
      <c r="A69" s="101" t="s">
        <v>346</v>
      </c>
      <c r="B69" s="115" t="s">
        <v>1272</v>
      </c>
      <c r="C69" s="116" t="s">
        <v>177</v>
      </c>
      <c r="D69" s="115" t="s">
        <v>1271</v>
      </c>
      <c r="E69" s="214">
        <v>1337326.0299999998</v>
      </c>
      <c r="F69" s="219">
        <v>36</v>
      </c>
      <c r="G69" s="219">
        <v>1</v>
      </c>
      <c r="J69" s="114" t="s">
        <v>168</v>
      </c>
      <c r="K69" s="220">
        <f t="shared" ref="K69:K82" si="4">SUMIF($C$4:$C$499,J69,E$4:E$512)</f>
        <v>3639388.08</v>
      </c>
      <c r="L69" s="220">
        <f t="shared" ref="L69:L82" si="5">SUMIF($C$4:$C$499,J69,F$4:F$512)</f>
        <v>89</v>
      </c>
      <c r="M69" s="220">
        <f t="shared" ref="M69:M84" si="6">K69/1000000</f>
        <v>3.6393880800000002</v>
      </c>
      <c r="N69" s="108">
        <f t="shared" ref="N69:N82" si="7">SUMIF($C$4:$C$499,J69,G$4:G$512)</f>
        <v>3</v>
      </c>
    </row>
    <row r="70" spans="1:14">
      <c r="A70" s="101" t="s">
        <v>348</v>
      </c>
      <c r="B70" s="115" t="s">
        <v>1274</v>
      </c>
      <c r="C70" s="116" t="s">
        <v>118</v>
      </c>
      <c r="D70" s="115" t="s">
        <v>1271</v>
      </c>
      <c r="E70" s="214">
        <v>1209443.75</v>
      </c>
      <c r="F70" s="219">
        <v>20</v>
      </c>
      <c r="G70" s="219">
        <v>1</v>
      </c>
      <c r="J70" s="114" t="s">
        <v>169</v>
      </c>
      <c r="K70" s="220">
        <f t="shared" si="4"/>
        <v>8486157.8399999999</v>
      </c>
      <c r="L70" s="220">
        <f t="shared" si="5"/>
        <v>159</v>
      </c>
      <c r="M70" s="220">
        <f t="shared" si="6"/>
        <v>8.4861578400000006</v>
      </c>
      <c r="N70" s="108">
        <f t="shared" si="7"/>
        <v>4</v>
      </c>
    </row>
    <row r="71" spans="1:14">
      <c r="A71" s="101" t="s">
        <v>350</v>
      </c>
      <c r="B71" s="115" t="s">
        <v>1274</v>
      </c>
      <c r="C71" s="116" t="s">
        <v>127</v>
      </c>
      <c r="D71" s="115" t="s">
        <v>1273</v>
      </c>
      <c r="E71" s="214">
        <v>1200951.72</v>
      </c>
      <c r="F71" s="219">
        <v>39</v>
      </c>
      <c r="G71" s="219">
        <v>1</v>
      </c>
      <c r="J71" s="114" t="s">
        <v>37</v>
      </c>
      <c r="K71" s="220">
        <f t="shared" si="4"/>
        <v>217960.47</v>
      </c>
      <c r="L71" s="220">
        <f t="shared" si="5"/>
        <v>10</v>
      </c>
      <c r="M71" s="220">
        <f t="shared" si="6"/>
        <v>0.21796046999999999</v>
      </c>
      <c r="N71" s="108">
        <f t="shared" si="7"/>
        <v>1</v>
      </c>
    </row>
    <row r="72" spans="1:14">
      <c r="A72" s="101" t="s">
        <v>352</v>
      </c>
      <c r="B72" s="115" t="s">
        <v>1274</v>
      </c>
      <c r="C72" s="116" t="s">
        <v>179</v>
      </c>
      <c r="D72" s="115" t="s">
        <v>1271</v>
      </c>
      <c r="E72" s="214">
        <v>3396404.33</v>
      </c>
      <c r="F72" s="219">
        <v>38</v>
      </c>
      <c r="G72" s="219">
        <v>1</v>
      </c>
      <c r="J72" s="114" t="s">
        <v>171</v>
      </c>
      <c r="K72" s="220">
        <f t="shared" si="4"/>
        <v>8873355.7400000002</v>
      </c>
      <c r="L72" s="220">
        <f t="shared" si="5"/>
        <v>154</v>
      </c>
      <c r="M72" s="220">
        <f t="shared" si="6"/>
        <v>8.8733557400000009</v>
      </c>
      <c r="N72" s="108">
        <f t="shared" si="7"/>
        <v>4</v>
      </c>
    </row>
    <row r="73" spans="1:14">
      <c r="A73" s="101" t="s">
        <v>354</v>
      </c>
      <c r="B73" s="115" t="s">
        <v>1272</v>
      </c>
      <c r="C73" s="116" t="s">
        <v>137</v>
      </c>
      <c r="D73" s="115" t="s">
        <v>1271</v>
      </c>
      <c r="E73" s="214">
        <v>2200725.0300000003</v>
      </c>
      <c r="F73" s="219">
        <v>29</v>
      </c>
      <c r="G73" s="219">
        <v>1</v>
      </c>
      <c r="J73" s="114" t="s">
        <v>179</v>
      </c>
      <c r="K73" s="220">
        <f t="shared" si="4"/>
        <v>19365548.919999998</v>
      </c>
      <c r="L73" s="220">
        <f t="shared" si="5"/>
        <v>234</v>
      </c>
      <c r="M73" s="220">
        <f t="shared" si="6"/>
        <v>19.365548919999998</v>
      </c>
      <c r="N73" s="108">
        <f t="shared" si="7"/>
        <v>8</v>
      </c>
    </row>
    <row r="74" spans="1:14">
      <c r="A74" s="101" t="s">
        <v>356</v>
      </c>
      <c r="B74" s="115" t="s">
        <v>1272</v>
      </c>
      <c r="C74" s="116" t="s">
        <v>151</v>
      </c>
      <c r="D74" s="115" t="s">
        <v>1271</v>
      </c>
      <c r="E74" s="214">
        <v>3731486.8</v>
      </c>
      <c r="F74" s="219">
        <v>71</v>
      </c>
      <c r="G74" s="219">
        <v>1</v>
      </c>
      <c r="J74" s="114" t="s">
        <v>172</v>
      </c>
      <c r="K74" s="220">
        <f t="shared" si="4"/>
        <v>21540735.760000005</v>
      </c>
      <c r="L74" s="220">
        <f t="shared" si="5"/>
        <v>318</v>
      </c>
      <c r="M74" s="220">
        <f t="shared" si="6"/>
        <v>21.540735760000004</v>
      </c>
      <c r="N74" s="108">
        <f t="shared" si="7"/>
        <v>7</v>
      </c>
    </row>
    <row r="75" spans="1:14">
      <c r="A75" s="101" t="s">
        <v>358</v>
      </c>
      <c r="B75" s="115" t="s">
        <v>1274</v>
      </c>
      <c r="C75" s="116" t="s">
        <v>129</v>
      </c>
      <c r="D75" s="115" t="s">
        <v>1271</v>
      </c>
      <c r="E75" s="214">
        <v>3857370.88</v>
      </c>
      <c r="F75" s="219">
        <v>40</v>
      </c>
      <c r="G75" s="219">
        <v>1</v>
      </c>
      <c r="J75" s="114" t="s">
        <v>180</v>
      </c>
      <c r="K75" s="220">
        <f t="shared" si="4"/>
        <v>0</v>
      </c>
      <c r="L75" s="220">
        <f t="shared" si="5"/>
        <v>0</v>
      </c>
      <c r="M75" s="220">
        <f t="shared" si="6"/>
        <v>0</v>
      </c>
      <c r="N75" s="108">
        <f t="shared" si="7"/>
        <v>0</v>
      </c>
    </row>
    <row r="76" spans="1:14">
      <c r="A76" s="101" t="s">
        <v>360</v>
      </c>
      <c r="B76" s="115" t="s">
        <v>1272</v>
      </c>
      <c r="C76" s="116" t="s">
        <v>146</v>
      </c>
      <c r="D76" s="115" t="s">
        <v>1271</v>
      </c>
      <c r="E76" s="214">
        <v>11701898.99</v>
      </c>
      <c r="F76" s="219">
        <v>100</v>
      </c>
      <c r="G76" s="219">
        <v>1</v>
      </c>
      <c r="J76" s="114" t="s">
        <v>38</v>
      </c>
      <c r="K76" s="220">
        <f t="shared" si="4"/>
        <v>52795623.890000001</v>
      </c>
      <c r="L76" s="220">
        <f t="shared" si="5"/>
        <v>431</v>
      </c>
      <c r="M76" s="220">
        <f t="shared" si="6"/>
        <v>52.795623890000002</v>
      </c>
      <c r="N76" s="108">
        <f t="shared" si="7"/>
        <v>6</v>
      </c>
    </row>
    <row r="77" spans="1:14">
      <c r="A77" s="101" t="s">
        <v>364</v>
      </c>
      <c r="B77" s="115" t="s">
        <v>1272</v>
      </c>
      <c r="C77" s="116" t="s">
        <v>145</v>
      </c>
      <c r="D77" s="115" t="s">
        <v>1273</v>
      </c>
      <c r="E77" s="214">
        <v>4920347.0199999996</v>
      </c>
      <c r="F77" s="219">
        <v>75</v>
      </c>
      <c r="G77" s="219">
        <v>1</v>
      </c>
      <c r="J77" s="114" t="s">
        <v>174</v>
      </c>
      <c r="K77" s="220">
        <f t="shared" si="4"/>
        <v>110856167.75999999</v>
      </c>
      <c r="L77" s="220">
        <f t="shared" si="5"/>
        <v>691</v>
      </c>
      <c r="M77" s="220">
        <f t="shared" si="6"/>
        <v>110.85616775999999</v>
      </c>
      <c r="N77" s="108">
        <f t="shared" si="7"/>
        <v>10</v>
      </c>
    </row>
    <row r="78" spans="1:14">
      <c r="A78" s="101" t="s">
        <v>366</v>
      </c>
      <c r="B78" s="115" t="s">
        <v>1272</v>
      </c>
      <c r="C78" s="116" t="s">
        <v>138</v>
      </c>
      <c r="D78" s="115" t="s">
        <v>1273</v>
      </c>
      <c r="E78" s="214">
        <v>4851253.12</v>
      </c>
      <c r="F78" s="219">
        <v>40</v>
      </c>
      <c r="G78" s="219">
        <v>1</v>
      </c>
      <c r="J78" s="114" t="s">
        <v>181</v>
      </c>
      <c r="K78" s="220">
        <f t="shared" si="4"/>
        <v>7643162.8300000001</v>
      </c>
      <c r="L78" s="220">
        <f t="shared" si="5"/>
        <v>135</v>
      </c>
      <c r="M78" s="220">
        <f t="shared" si="6"/>
        <v>7.6431628300000005</v>
      </c>
      <c r="N78" s="108">
        <f t="shared" si="7"/>
        <v>3</v>
      </c>
    </row>
    <row r="79" spans="1:14">
      <c r="A79" s="101" t="s">
        <v>368</v>
      </c>
      <c r="B79" s="115" t="s">
        <v>1274</v>
      </c>
      <c r="C79" s="116" t="s">
        <v>108</v>
      </c>
      <c r="D79" s="115" t="s">
        <v>1271</v>
      </c>
      <c r="E79" s="214">
        <v>2313312.9699999997</v>
      </c>
      <c r="F79" s="219">
        <v>30</v>
      </c>
      <c r="G79" s="219">
        <v>1</v>
      </c>
      <c r="J79" s="114" t="s">
        <v>175</v>
      </c>
      <c r="K79" s="220">
        <f t="shared" si="4"/>
        <v>106057102.17999999</v>
      </c>
      <c r="L79" s="220">
        <f t="shared" si="5"/>
        <v>903</v>
      </c>
      <c r="M79" s="220">
        <f t="shared" si="6"/>
        <v>106.05710217999999</v>
      </c>
      <c r="N79" s="108">
        <f t="shared" si="7"/>
        <v>13</v>
      </c>
    </row>
    <row r="80" spans="1:14">
      <c r="A80" s="101" t="s">
        <v>370</v>
      </c>
      <c r="B80" s="115" t="s">
        <v>1272</v>
      </c>
      <c r="C80" s="116" t="s">
        <v>112</v>
      </c>
      <c r="D80" s="115" t="s">
        <v>1271</v>
      </c>
      <c r="E80" s="214">
        <v>5493566.9000000004</v>
      </c>
      <c r="F80" s="219">
        <v>60</v>
      </c>
      <c r="G80" s="219">
        <v>1</v>
      </c>
      <c r="J80" s="114" t="s">
        <v>39</v>
      </c>
      <c r="K80" s="220">
        <f t="shared" si="4"/>
        <v>30265707.479999997</v>
      </c>
      <c r="L80" s="220">
        <f t="shared" si="5"/>
        <v>308</v>
      </c>
      <c r="M80" s="220">
        <f t="shared" si="6"/>
        <v>30.265707479999996</v>
      </c>
      <c r="N80" s="108">
        <f t="shared" si="7"/>
        <v>8</v>
      </c>
    </row>
    <row r="81" spans="1:17">
      <c r="A81" s="101" t="s">
        <v>372</v>
      </c>
      <c r="B81" s="115" t="s">
        <v>1272</v>
      </c>
      <c r="C81" s="116" t="s">
        <v>145</v>
      </c>
      <c r="D81" s="115" t="s">
        <v>1271</v>
      </c>
      <c r="E81" s="214">
        <v>8554212.4199999999</v>
      </c>
      <c r="F81" s="219">
        <v>105</v>
      </c>
      <c r="G81" s="219">
        <v>1</v>
      </c>
      <c r="J81" s="114" t="s">
        <v>177</v>
      </c>
      <c r="K81" s="220">
        <f t="shared" si="4"/>
        <v>29226804.269999996</v>
      </c>
      <c r="L81" s="220">
        <f t="shared" si="5"/>
        <v>428</v>
      </c>
      <c r="M81" s="220">
        <f t="shared" si="6"/>
        <v>29.226804269999995</v>
      </c>
      <c r="N81" s="108">
        <f t="shared" si="7"/>
        <v>9</v>
      </c>
    </row>
    <row r="82" spans="1:17">
      <c r="A82" s="101" t="s">
        <v>374</v>
      </c>
      <c r="B82" s="115" t="s">
        <v>1272</v>
      </c>
      <c r="C82" s="116" t="s">
        <v>133</v>
      </c>
      <c r="D82" s="115" t="s">
        <v>1271</v>
      </c>
      <c r="E82" s="214">
        <v>6377865.7699999996</v>
      </c>
      <c r="F82" s="219">
        <v>60</v>
      </c>
      <c r="G82" s="219">
        <v>1</v>
      </c>
      <c r="J82" s="114" t="s">
        <v>178</v>
      </c>
      <c r="K82" s="220">
        <f t="shared" si="4"/>
        <v>0</v>
      </c>
      <c r="L82" s="220">
        <f t="shared" si="5"/>
        <v>0</v>
      </c>
      <c r="M82" s="220">
        <f t="shared" si="6"/>
        <v>0</v>
      </c>
      <c r="N82" s="108">
        <f t="shared" si="7"/>
        <v>0</v>
      </c>
    </row>
    <row r="83" spans="1:17">
      <c r="A83" s="101" t="s">
        <v>376</v>
      </c>
      <c r="B83" s="115" t="s">
        <v>1272</v>
      </c>
      <c r="C83" s="116" t="s">
        <v>144</v>
      </c>
      <c r="D83" s="115" t="s">
        <v>1271</v>
      </c>
      <c r="E83" s="214">
        <v>3816846.42</v>
      </c>
      <c r="F83" s="219">
        <v>30</v>
      </c>
      <c r="G83" s="219">
        <v>1</v>
      </c>
      <c r="J83" s="21" t="s">
        <v>1391</v>
      </c>
      <c r="K83" s="19">
        <f t="shared" ref="K83:L83" si="8">SUM(K4:K82)</f>
        <v>2697391843.5799994</v>
      </c>
      <c r="L83" s="19">
        <f t="shared" si="8"/>
        <v>26418</v>
      </c>
      <c r="M83" s="220">
        <f t="shared" si="6"/>
        <v>2697.3918435799997</v>
      </c>
      <c r="N83" s="19">
        <f t="shared" ref="N83" si="9">SUM(N4:N82)</f>
        <v>495</v>
      </c>
    </row>
    <row r="84" spans="1:17">
      <c r="A84" s="101" t="s">
        <v>1398</v>
      </c>
      <c r="B84" s="115" t="s">
        <v>1272</v>
      </c>
      <c r="C84" s="116" t="s">
        <v>115</v>
      </c>
      <c r="D84" s="115" t="s">
        <v>1271</v>
      </c>
      <c r="E84" s="214">
        <v>5109669.1899999995</v>
      </c>
      <c r="F84" s="219">
        <v>60</v>
      </c>
      <c r="G84" s="219">
        <v>1</v>
      </c>
      <c r="J84" s="22" t="s">
        <v>1392</v>
      </c>
      <c r="K84" s="19">
        <f>SUM(K7,K10,K12:K13,K16:K17,K21,K23,K25,K29,K34,K36,K38:K39,K43,K45:K48,K52:K53,K55:K56,K60,K62,K67,K76:K77,K79:K81)</f>
        <v>2100149539.4500003</v>
      </c>
      <c r="L84" s="19">
        <f t="shared" ref="L84" si="10">SUM(L7,L10,L12:L13,L16:L17,L21,L23,L25,L29,L34,L36,L38:L39,L43,L45:L48,L52:L53,L55:L56,L60,L62,L67,L76:L77,L79:L81)</f>
        <v>18784</v>
      </c>
      <c r="M84" s="220">
        <f t="shared" si="6"/>
        <v>2100.1495394500002</v>
      </c>
      <c r="N84" s="19">
        <f>SUM(N7,N10,N12:N13,N16:N17,N21,N23,N25,N29,N34,N36,N38:N39,N43,N45:N48,N52:N53,N55:N56,N60,N62,N67,N76:N77,N79:N81)</f>
        <v>310</v>
      </c>
    </row>
    <row r="85" spans="1:17">
      <c r="A85" s="101" t="s">
        <v>378</v>
      </c>
      <c r="B85" s="115" t="s">
        <v>1272</v>
      </c>
      <c r="C85" s="116" t="s">
        <v>145</v>
      </c>
      <c r="D85" s="115" t="s">
        <v>1271</v>
      </c>
      <c r="E85" s="214">
        <v>4304295.7300000004</v>
      </c>
      <c r="F85" s="219">
        <v>82</v>
      </c>
      <c r="G85" s="219">
        <v>1</v>
      </c>
      <c r="M85" s="108"/>
      <c r="N85" s="108"/>
    </row>
    <row r="86" spans="1:17">
      <c r="A86" s="101" t="s">
        <v>380</v>
      </c>
      <c r="B86" s="115" t="s">
        <v>1272</v>
      </c>
      <c r="C86" s="116" t="s">
        <v>166</v>
      </c>
      <c r="D86" s="115" t="s">
        <v>1271</v>
      </c>
      <c r="E86" s="214">
        <v>6221.54</v>
      </c>
      <c r="F86" s="219">
        <v>0</v>
      </c>
      <c r="G86" s="219">
        <v>1</v>
      </c>
      <c r="M86" s="108"/>
      <c r="N86" s="108"/>
      <c r="O86" s="108"/>
      <c r="P86" s="108"/>
      <c r="Q86" s="103"/>
    </row>
    <row r="87" spans="1:17">
      <c r="A87" s="101" t="s">
        <v>384</v>
      </c>
      <c r="B87" s="115" t="s">
        <v>1274</v>
      </c>
      <c r="C87" s="116" t="s">
        <v>27</v>
      </c>
      <c r="D87" s="115" t="s">
        <v>1271</v>
      </c>
      <c r="E87" s="214">
        <v>1171183.96</v>
      </c>
      <c r="F87" s="219">
        <v>28</v>
      </c>
      <c r="G87" s="219">
        <v>1</v>
      </c>
      <c r="M87" s="108"/>
      <c r="N87" s="108"/>
      <c r="O87" s="108"/>
      <c r="P87" s="108"/>
      <c r="Q87" s="103"/>
    </row>
    <row r="88" spans="1:17">
      <c r="A88" s="101" t="s">
        <v>386</v>
      </c>
      <c r="B88" s="115" t="s">
        <v>1274</v>
      </c>
      <c r="C88" s="116" t="s">
        <v>31</v>
      </c>
      <c r="D88" s="115" t="s">
        <v>1273</v>
      </c>
      <c r="E88" s="214">
        <v>2005932.52</v>
      </c>
      <c r="F88" s="219">
        <v>43</v>
      </c>
      <c r="G88" s="219">
        <v>1</v>
      </c>
      <c r="M88" s="108"/>
      <c r="N88" s="108"/>
      <c r="O88" s="108"/>
      <c r="P88" s="108"/>
      <c r="Q88" s="103"/>
    </row>
    <row r="89" spans="1:17">
      <c r="A89" s="101" t="s">
        <v>388</v>
      </c>
      <c r="B89" s="115" t="s">
        <v>1274</v>
      </c>
      <c r="C89" s="116" t="s">
        <v>118</v>
      </c>
      <c r="D89" s="115" t="s">
        <v>1271</v>
      </c>
      <c r="E89" s="214">
        <v>956420.38</v>
      </c>
      <c r="F89" s="219">
        <v>20</v>
      </c>
      <c r="G89" s="219">
        <v>1</v>
      </c>
      <c r="M89" s="108"/>
      <c r="N89" s="108"/>
      <c r="O89" s="108"/>
      <c r="P89" s="108"/>
      <c r="Q89" s="103"/>
    </row>
    <row r="90" spans="1:17">
      <c r="A90" s="101" t="s">
        <v>390</v>
      </c>
      <c r="B90" s="115" t="s">
        <v>1274</v>
      </c>
      <c r="C90" s="116" t="s">
        <v>118</v>
      </c>
      <c r="D90" s="115" t="s">
        <v>1271</v>
      </c>
      <c r="E90" s="214">
        <v>999995.58000000007</v>
      </c>
      <c r="F90" s="219">
        <v>25</v>
      </c>
      <c r="G90" s="219">
        <v>1</v>
      </c>
      <c r="M90" s="108"/>
      <c r="N90" s="108"/>
      <c r="O90" s="108"/>
      <c r="P90" s="108"/>
      <c r="Q90" s="103"/>
    </row>
    <row r="91" spans="1:17">
      <c r="A91" s="101" t="s">
        <v>392</v>
      </c>
      <c r="B91" s="115" t="s">
        <v>1274</v>
      </c>
      <c r="C91" s="116" t="s">
        <v>27</v>
      </c>
      <c r="D91" s="115" t="s">
        <v>1273</v>
      </c>
      <c r="E91" s="214">
        <v>1589639.3599999999</v>
      </c>
      <c r="F91" s="219">
        <v>29</v>
      </c>
      <c r="G91" s="219">
        <v>1</v>
      </c>
      <c r="M91" s="108"/>
      <c r="N91" s="108"/>
      <c r="O91" s="108"/>
      <c r="P91" s="108"/>
      <c r="Q91" s="103"/>
    </row>
    <row r="92" spans="1:17">
      <c r="A92" s="101" t="s">
        <v>394</v>
      </c>
      <c r="B92" s="115" t="s">
        <v>1274</v>
      </c>
      <c r="C92" s="116" t="s">
        <v>169</v>
      </c>
      <c r="D92" s="115" t="s">
        <v>1273</v>
      </c>
      <c r="E92" s="214">
        <v>1508671.83</v>
      </c>
      <c r="F92" s="219">
        <v>14</v>
      </c>
      <c r="G92" s="219">
        <v>1</v>
      </c>
      <c r="M92" s="108"/>
      <c r="N92" s="108"/>
      <c r="O92" s="108"/>
      <c r="P92" s="108"/>
      <c r="Q92" s="103"/>
    </row>
    <row r="93" spans="1:17">
      <c r="A93" s="101" t="s">
        <v>396</v>
      </c>
      <c r="B93" s="115" t="s">
        <v>1272</v>
      </c>
      <c r="C93" s="116" t="s">
        <v>175</v>
      </c>
      <c r="D93" s="115" t="s">
        <v>1273</v>
      </c>
      <c r="E93" s="214">
        <v>13476488.140000001</v>
      </c>
      <c r="F93" s="219">
        <v>75</v>
      </c>
      <c r="G93" s="219">
        <v>1</v>
      </c>
      <c r="M93" s="108"/>
      <c r="N93" s="108"/>
      <c r="O93" s="108"/>
      <c r="P93" s="108"/>
      <c r="Q93" s="103"/>
    </row>
    <row r="94" spans="1:17">
      <c r="A94" s="101" t="s">
        <v>398</v>
      </c>
      <c r="B94" s="115" t="s">
        <v>1272</v>
      </c>
      <c r="C94" s="116" t="s">
        <v>135</v>
      </c>
      <c r="D94" s="115" t="s">
        <v>1273</v>
      </c>
      <c r="E94" s="214">
        <v>5762672.8300000001</v>
      </c>
      <c r="F94" s="219">
        <v>47</v>
      </c>
      <c r="G94" s="219">
        <v>1</v>
      </c>
      <c r="M94" s="108"/>
      <c r="N94" s="108"/>
      <c r="O94" s="108"/>
      <c r="P94" s="108"/>
      <c r="Q94" s="103"/>
    </row>
    <row r="95" spans="1:17">
      <c r="A95" s="101" t="s">
        <v>400</v>
      </c>
      <c r="B95" s="115" t="s">
        <v>1274</v>
      </c>
      <c r="C95" s="116" t="s">
        <v>37</v>
      </c>
      <c r="D95" s="115" t="s">
        <v>1271</v>
      </c>
      <c r="E95" s="214">
        <v>217960.47</v>
      </c>
      <c r="F95" s="219">
        <v>10</v>
      </c>
      <c r="G95" s="219">
        <v>1</v>
      </c>
      <c r="M95" s="108"/>
      <c r="N95" s="108"/>
      <c r="O95" s="108"/>
      <c r="P95" s="108"/>
      <c r="Q95" s="103"/>
    </row>
    <row r="96" spans="1:17">
      <c r="A96" s="101" t="s">
        <v>402</v>
      </c>
      <c r="B96" s="115" t="s">
        <v>1274</v>
      </c>
      <c r="C96" s="116" t="s">
        <v>153</v>
      </c>
      <c r="D96" s="115" t="s">
        <v>1273</v>
      </c>
      <c r="E96" s="214">
        <v>5276193.49</v>
      </c>
      <c r="F96" s="219">
        <v>40</v>
      </c>
      <c r="G96" s="219">
        <v>1</v>
      </c>
      <c r="M96" s="108"/>
      <c r="N96" s="108"/>
      <c r="O96" s="108"/>
      <c r="P96" s="108"/>
      <c r="Q96" s="103"/>
    </row>
    <row r="97" spans="1:17">
      <c r="A97" s="101" t="s">
        <v>406</v>
      </c>
      <c r="B97" s="115" t="s">
        <v>1272</v>
      </c>
      <c r="C97" s="116" t="s">
        <v>144</v>
      </c>
      <c r="D97" s="115" t="s">
        <v>1273</v>
      </c>
      <c r="E97" s="214">
        <v>3613717.96</v>
      </c>
      <c r="F97" s="219">
        <v>21</v>
      </c>
      <c r="G97" s="219">
        <v>1</v>
      </c>
      <c r="M97" s="108"/>
      <c r="N97" s="108"/>
      <c r="O97" s="108"/>
      <c r="P97" s="108"/>
      <c r="Q97" s="103"/>
    </row>
    <row r="98" spans="1:17">
      <c r="A98" s="101" t="s">
        <v>408</v>
      </c>
      <c r="B98" s="115" t="s">
        <v>1272</v>
      </c>
      <c r="C98" s="116" t="s">
        <v>166</v>
      </c>
      <c r="D98" s="115" t="s">
        <v>1273</v>
      </c>
      <c r="E98" s="214">
        <v>5912518.3899999997</v>
      </c>
      <c r="F98" s="219">
        <v>48</v>
      </c>
      <c r="G98" s="219">
        <v>1</v>
      </c>
      <c r="M98" s="108"/>
      <c r="N98" s="108"/>
      <c r="O98" s="108"/>
      <c r="P98" s="108"/>
      <c r="Q98" s="103"/>
    </row>
    <row r="99" spans="1:17">
      <c r="A99" s="101" t="s">
        <v>412</v>
      </c>
      <c r="B99" s="115" t="s">
        <v>1272</v>
      </c>
      <c r="C99" s="116" t="s">
        <v>135</v>
      </c>
      <c r="D99" s="115" t="s">
        <v>1271</v>
      </c>
      <c r="E99" s="214">
        <v>8727829.6499999985</v>
      </c>
      <c r="F99" s="219">
        <v>70</v>
      </c>
      <c r="G99" s="219">
        <v>1</v>
      </c>
      <c r="M99" s="108"/>
      <c r="N99" s="108"/>
      <c r="O99" s="108"/>
      <c r="P99" s="108"/>
      <c r="Q99" s="103"/>
    </row>
    <row r="100" spans="1:17">
      <c r="A100" s="101" t="s">
        <v>410</v>
      </c>
      <c r="B100" s="115" t="s">
        <v>1274</v>
      </c>
      <c r="C100" s="116" t="s">
        <v>105</v>
      </c>
      <c r="D100" s="115" t="s">
        <v>1273</v>
      </c>
      <c r="E100" s="214">
        <v>5171034.32</v>
      </c>
      <c r="F100" s="219">
        <v>45</v>
      </c>
      <c r="G100" s="219">
        <v>1</v>
      </c>
      <c r="M100" s="108"/>
      <c r="N100" s="108"/>
      <c r="O100" s="108"/>
      <c r="P100" s="108"/>
      <c r="Q100" s="103"/>
    </row>
    <row r="101" spans="1:17">
      <c r="A101" s="101" t="s">
        <v>414</v>
      </c>
      <c r="B101" s="115" t="s">
        <v>1272</v>
      </c>
      <c r="C101" s="116" t="s">
        <v>120</v>
      </c>
      <c r="D101" s="115" t="s">
        <v>1273</v>
      </c>
      <c r="E101" s="214">
        <v>10009546.93</v>
      </c>
      <c r="F101" s="219">
        <v>79</v>
      </c>
      <c r="G101" s="219">
        <v>1</v>
      </c>
      <c r="M101" s="108"/>
      <c r="N101" s="108"/>
      <c r="O101" s="108"/>
      <c r="P101" s="108"/>
      <c r="Q101" s="103"/>
    </row>
    <row r="102" spans="1:17">
      <c r="A102" s="101" t="s">
        <v>416</v>
      </c>
      <c r="B102" s="115" t="s">
        <v>1272</v>
      </c>
      <c r="C102" s="116" t="s">
        <v>116</v>
      </c>
      <c r="D102" s="115" t="s">
        <v>1271</v>
      </c>
      <c r="E102" s="214">
        <v>3164812.79</v>
      </c>
      <c r="F102" s="219">
        <v>50</v>
      </c>
      <c r="G102" s="219">
        <v>1</v>
      </c>
      <c r="M102" s="108"/>
      <c r="N102" s="108"/>
      <c r="O102" s="108"/>
      <c r="P102" s="108"/>
      <c r="Q102" s="103"/>
    </row>
    <row r="103" spans="1:17">
      <c r="A103" s="101" t="s">
        <v>418</v>
      </c>
      <c r="B103" s="115" t="s">
        <v>1272</v>
      </c>
      <c r="C103" s="116" t="s">
        <v>152</v>
      </c>
      <c r="D103" s="115" t="s">
        <v>1273</v>
      </c>
      <c r="E103" s="214">
        <v>4671575.09</v>
      </c>
      <c r="F103" s="219">
        <v>40</v>
      </c>
      <c r="G103" s="219">
        <v>1</v>
      </c>
      <c r="M103" s="108"/>
      <c r="N103" s="108"/>
      <c r="O103" s="108"/>
      <c r="P103" s="108"/>
      <c r="Q103" s="103"/>
    </row>
    <row r="104" spans="1:17">
      <c r="A104" s="101" t="s">
        <v>420</v>
      </c>
      <c r="B104" s="115" t="s">
        <v>1272</v>
      </c>
      <c r="C104" s="116" t="s">
        <v>177</v>
      </c>
      <c r="D104" s="115" t="s">
        <v>1273</v>
      </c>
      <c r="E104" s="214">
        <v>7414630.7599999998</v>
      </c>
      <c r="F104" s="219">
        <v>64</v>
      </c>
      <c r="G104" s="219">
        <v>1</v>
      </c>
      <c r="M104" s="108"/>
      <c r="N104" s="108"/>
      <c r="O104" s="108"/>
      <c r="P104" s="108"/>
      <c r="Q104" s="103"/>
    </row>
    <row r="105" spans="1:17">
      <c r="A105" s="101" t="s">
        <v>422</v>
      </c>
      <c r="B105" s="115" t="s">
        <v>1272</v>
      </c>
      <c r="C105" s="116" t="s">
        <v>120</v>
      </c>
      <c r="D105" s="115" t="s">
        <v>1273</v>
      </c>
      <c r="E105" s="214">
        <v>5173156.5999999996</v>
      </c>
      <c r="F105" s="219">
        <v>54</v>
      </c>
      <c r="G105" s="219">
        <v>1</v>
      </c>
      <c r="J105" s="105"/>
      <c r="K105" s="99"/>
      <c r="L105" s="99"/>
      <c r="M105" s="108"/>
      <c r="N105" s="108"/>
      <c r="O105" s="108"/>
      <c r="P105" s="108"/>
      <c r="Q105" s="103"/>
    </row>
    <row r="106" spans="1:17">
      <c r="A106" s="101" t="s">
        <v>424</v>
      </c>
      <c r="B106" s="115" t="s">
        <v>1272</v>
      </c>
      <c r="C106" s="116" t="s">
        <v>145</v>
      </c>
      <c r="D106" s="115" t="s">
        <v>1273</v>
      </c>
      <c r="E106" s="214">
        <v>10640486.699999999</v>
      </c>
      <c r="F106" s="219">
        <v>105</v>
      </c>
      <c r="G106" s="219">
        <v>1</v>
      </c>
      <c r="J106" s="105"/>
      <c r="K106" s="99"/>
      <c r="L106" s="99"/>
      <c r="M106" s="108"/>
      <c r="N106" s="108"/>
      <c r="O106" s="108"/>
      <c r="P106" s="108"/>
      <c r="Q106" s="103"/>
    </row>
    <row r="107" spans="1:17">
      <c r="A107" s="101" t="s">
        <v>426</v>
      </c>
      <c r="B107" s="115" t="s">
        <v>1274</v>
      </c>
      <c r="C107" s="116" t="s">
        <v>32</v>
      </c>
      <c r="D107" s="115" t="s">
        <v>1273</v>
      </c>
      <c r="E107" s="214">
        <v>2991061.71</v>
      </c>
      <c r="F107" s="219">
        <v>30</v>
      </c>
      <c r="G107" s="219">
        <v>1</v>
      </c>
      <c r="J107" s="105"/>
      <c r="K107" s="99"/>
      <c r="L107" s="99"/>
      <c r="M107" s="108"/>
      <c r="N107" s="108"/>
      <c r="O107" s="108"/>
      <c r="P107" s="108"/>
      <c r="Q107" s="103"/>
    </row>
    <row r="108" spans="1:17">
      <c r="A108" s="101" t="s">
        <v>428</v>
      </c>
      <c r="B108" s="115" t="s">
        <v>1272</v>
      </c>
      <c r="C108" s="116" t="s">
        <v>128</v>
      </c>
      <c r="D108" s="115" t="s">
        <v>1271</v>
      </c>
      <c r="E108" s="214">
        <v>11376106.809999999</v>
      </c>
      <c r="F108" s="219">
        <v>103</v>
      </c>
      <c r="G108" s="219">
        <v>1</v>
      </c>
      <c r="J108" s="105"/>
      <c r="K108" s="99"/>
      <c r="L108" s="99"/>
      <c r="M108" s="108"/>
      <c r="N108" s="108"/>
      <c r="O108" s="108"/>
      <c r="P108" s="108"/>
      <c r="Q108" s="103"/>
    </row>
    <row r="109" spans="1:17">
      <c r="A109" s="101" t="s">
        <v>430</v>
      </c>
      <c r="B109" s="115" t="s">
        <v>1272</v>
      </c>
      <c r="C109" s="116" t="s">
        <v>128</v>
      </c>
      <c r="D109" s="115" t="s">
        <v>1271</v>
      </c>
      <c r="E109" s="214">
        <v>7460609.54</v>
      </c>
      <c r="F109" s="219">
        <v>63</v>
      </c>
      <c r="G109" s="219">
        <v>1</v>
      </c>
      <c r="J109" s="105"/>
      <c r="K109" s="99"/>
      <c r="L109" s="99"/>
      <c r="M109" s="108"/>
      <c r="N109" s="108"/>
      <c r="O109" s="108"/>
      <c r="P109" s="108"/>
      <c r="Q109" s="103"/>
    </row>
    <row r="110" spans="1:17">
      <c r="A110" s="101" t="s">
        <v>432</v>
      </c>
      <c r="B110" s="115" t="s">
        <v>1272</v>
      </c>
      <c r="C110" s="116" t="s">
        <v>128</v>
      </c>
      <c r="D110" s="115" t="s">
        <v>1271</v>
      </c>
      <c r="E110" s="214">
        <v>2635416.79</v>
      </c>
      <c r="F110" s="219">
        <v>77</v>
      </c>
      <c r="G110" s="219">
        <v>1</v>
      </c>
      <c r="J110" s="105"/>
      <c r="K110" s="99"/>
      <c r="L110" s="99"/>
      <c r="M110" s="108"/>
      <c r="N110" s="108"/>
      <c r="O110" s="108"/>
      <c r="P110" s="108"/>
      <c r="Q110" s="103"/>
    </row>
    <row r="111" spans="1:17">
      <c r="A111" s="101" t="s">
        <v>434</v>
      </c>
      <c r="B111" s="115" t="s">
        <v>1272</v>
      </c>
      <c r="C111" s="116" t="s">
        <v>120</v>
      </c>
      <c r="D111" s="115" t="s">
        <v>1271</v>
      </c>
      <c r="E111" s="214">
        <v>4705966.24</v>
      </c>
      <c r="F111" s="219">
        <v>65</v>
      </c>
      <c r="G111" s="219">
        <v>1</v>
      </c>
      <c r="J111" s="105"/>
      <c r="K111" s="99"/>
      <c r="L111" s="99"/>
      <c r="M111" s="108"/>
      <c r="N111" s="108"/>
      <c r="O111" s="108"/>
      <c r="P111" s="108"/>
      <c r="Q111" s="103"/>
    </row>
    <row r="112" spans="1:17">
      <c r="A112" s="101" t="s">
        <v>436</v>
      </c>
      <c r="B112" s="115" t="s">
        <v>1272</v>
      </c>
      <c r="C112" s="116" t="s">
        <v>155</v>
      </c>
      <c r="D112" s="115" t="s">
        <v>1273</v>
      </c>
      <c r="E112" s="214">
        <v>2870771.04</v>
      </c>
      <c r="F112" s="219">
        <v>32</v>
      </c>
      <c r="G112" s="219">
        <v>1</v>
      </c>
      <c r="J112" s="105"/>
      <c r="K112" s="99"/>
      <c r="L112" s="99"/>
      <c r="M112" s="108"/>
      <c r="N112" s="108"/>
      <c r="O112" s="108"/>
      <c r="P112" s="108"/>
      <c r="Q112" s="103"/>
    </row>
    <row r="113" spans="1:17">
      <c r="A113" s="101" t="s">
        <v>438</v>
      </c>
      <c r="B113" s="115" t="s">
        <v>1274</v>
      </c>
      <c r="C113" s="116" t="s">
        <v>29</v>
      </c>
      <c r="D113" s="115" t="s">
        <v>1271</v>
      </c>
      <c r="E113" s="214">
        <v>1303686.31</v>
      </c>
      <c r="F113" s="219">
        <v>32</v>
      </c>
      <c r="G113" s="219">
        <v>1</v>
      </c>
      <c r="J113" s="105"/>
      <c r="K113" s="99"/>
      <c r="L113" s="99"/>
      <c r="M113" s="108"/>
      <c r="N113" s="108"/>
      <c r="O113" s="108"/>
      <c r="P113" s="108"/>
      <c r="Q113" s="103"/>
    </row>
    <row r="114" spans="1:17">
      <c r="A114" s="101" t="s">
        <v>440</v>
      </c>
      <c r="B114" s="115" t="s">
        <v>1272</v>
      </c>
      <c r="C114" s="116" t="s">
        <v>112</v>
      </c>
      <c r="D114" s="115" t="s">
        <v>1271</v>
      </c>
      <c r="E114" s="214">
        <v>11947918.460000001</v>
      </c>
      <c r="F114" s="219">
        <v>80</v>
      </c>
      <c r="G114" s="219">
        <v>1</v>
      </c>
      <c r="J114" s="105"/>
      <c r="K114" s="99"/>
      <c r="L114" s="99"/>
      <c r="M114" s="108"/>
      <c r="N114" s="108"/>
      <c r="O114" s="108"/>
      <c r="P114" s="108"/>
      <c r="Q114" s="103"/>
    </row>
    <row r="115" spans="1:17">
      <c r="A115" s="101" t="s">
        <v>442</v>
      </c>
      <c r="B115" s="115" t="s">
        <v>1272</v>
      </c>
      <c r="C115" s="116" t="s">
        <v>112</v>
      </c>
      <c r="D115" s="115" t="s">
        <v>1273</v>
      </c>
      <c r="E115" s="214">
        <v>14608773.649999999</v>
      </c>
      <c r="F115" s="219">
        <v>79</v>
      </c>
      <c r="G115" s="219">
        <v>1</v>
      </c>
      <c r="J115" s="105"/>
      <c r="K115" s="99"/>
      <c r="L115" s="99"/>
      <c r="M115" s="108"/>
      <c r="N115" s="108"/>
      <c r="O115" s="108"/>
      <c r="P115" s="108"/>
      <c r="Q115" s="103"/>
    </row>
    <row r="116" spans="1:17">
      <c r="A116" s="101" t="s">
        <v>444</v>
      </c>
      <c r="B116" s="115" t="s">
        <v>1272</v>
      </c>
      <c r="C116" s="116" t="s">
        <v>112</v>
      </c>
      <c r="D116" s="115" t="s">
        <v>1273</v>
      </c>
      <c r="E116" s="214">
        <v>8198907.4299999997</v>
      </c>
      <c r="F116" s="219">
        <v>55</v>
      </c>
      <c r="G116" s="219">
        <v>1</v>
      </c>
      <c r="J116" s="105"/>
      <c r="K116" s="99"/>
      <c r="L116" s="99"/>
      <c r="M116" s="108"/>
      <c r="N116" s="108"/>
      <c r="O116" s="108"/>
      <c r="P116" s="108"/>
      <c r="Q116" s="103"/>
    </row>
    <row r="117" spans="1:17">
      <c r="A117" s="101" t="s">
        <v>1485</v>
      </c>
      <c r="B117" s="115" t="s">
        <v>1272</v>
      </c>
      <c r="C117" s="116" t="s">
        <v>159</v>
      </c>
      <c r="D117" s="115" t="s">
        <v>1273</v>
      </c>
      <c r="E117" s="214">
        <v>5960523.7300000004</v>
      </c>
      <c r="F117" s="219">
        <v>50</v>
      </c>
      <c r="G117" s="219">
        <v>1</v>
      </c>
      <c r="J117" s="105"/>
      <c r="K117" s="99"/>
      <c r="L117" s="99"/>
      <c r="M117" s="108"/>
      <c r="N117" s="108"/>
      <c r="O117" s="108"/>
      <c r="P117" s="108"/>
      <c r="Q117" s="103"/>
    </row>
    <row r="118" spans="1:17">
      <c r="A118" s="101" t="s">
        <v>448</v>
      </c>
      <c r="B118" s="115" t="s">
        <v>1272</v>
      </c>
      <c r="C118" s="116" t="s">
        <v>161</v>
      </c>
      <c r="D118" s="115" t="s">
        <v>1273</v>
      </c>
      <c r="E118" s="214">
        <v>1995805.08</v>
      </c>
      <c r="F118" s="219">
        <v>40</v>
      </c>
      <c r="G118" s="219">
        <v>1</v>
      </c>
      <c r="J118" s="105"/>
      <c r="K118" s="99"/>
      <c r="L118" s="99"/>
      <c r="M118" s="108"/>
      <c r="N118" s="108"/>
      <c r="O118" s="108"/>
      <c r="P118" s="108"/>
      <c r="Q118" s="103"/>
    </row>
    <row r="119" spans="1:17">
      <c r="A119" s="101" t="s">
        <v>450</v>
      </c>
      <c r="B119" s="115" t="s">
        <v>1272</v>
      </c>
      <c r="C119" s="116" t="s">
        <v>137</v>
      </c>
      <c r="D119" s="115" t="s">
        <v>1273</v>
      </c>
      <c r="E119" s="214">
        <v>15644820.529999999</v>
      </c>
      <c r="F119" s="219">
        <v>90</v>
      </c>
      <c r="G119" s="219">
        <v>1</v>
      </c>
      <c r="J119" s="105"/>
      <c r="K119" s="99"/>
      <c r="L119" s="99"/>
      <c r="M119" s="108"/>
      <c r="N119" s="108"/>
      <c r="O119" s="108"/>
      <c r="P119" s="108"/>
      <c r="Q119" s="103"/>
    </row>
    <row r="120" spans="1:17">
      <c r="A120" s="101" t="s">
        <v>452</v>
      </c>
      <c r="B120" s="115" t="s">
        <v>1272</v>
      </c>
      <c r="C120" s="116" t="s">
        <v>142</v>
      </c>
      <c r="D120" s="115" t="s">
        <v>1273</v>
      </c>
      <c r="E120" s="214">
        <v>12362444.77</v>
      </c>
      <c r="F120" s="219">
        <v>85</v>
      </c>
      <c r="G120" s="219">
        <v>1</v>
      </c>
      <c r="J120" s="105"/>
      <c r="K120" s="99"/>
      <c r="L120" s="99"/>
      <c r="M120" s="108"/>
      <c r="N120" s="108"/>
      <c r="O120" s="108"/>
      <c r="P120" s="108"/>
      <c r="Q120" s="103"/>
    </row>
    <row r="121" spans="1:17">
      <c r="A121" s="101" t="s">
        <v>454</v>
      </c>
      <c r="B121" s="115" t="s">
        <v>1272</v>
      </c>
      <c r="C121" s="116" t="s">
        <v>145</v>
      </c>
      <c r="D121" s="115" t="s">
        <v>1273</v>
      </c>
      <c r="E121" s="214">
        <v>16765117.359999999</v>
      </c>
      <c r="F121" s="219">
        <v>97</v>
      </c>
      <c r="G121" s="219">
        <v>1</v>
      </c>
      <c r="J121" s="105"/>
      <c r="K121" s="99"/>
      <c r="L121" s="99"/>
      <c r="M121" s="108"/>
      <c r="N121" s="108"/>
      <c r="O121" s="108"/>
      <c r="P121" s="108"/>
      <c r="Q121" s="103"/>
    </row>
    <row r="122" spans="1:17">
      <c r="A122" s="101" t="s">
        <v>456</v>
      </c>
      <c r="B122" s="115" t="s">
        <v>1272</v>
      </c>
      <c r="C122" s="116" t="s">
        <v>155</v>
      </c>
      <c r="D122" s="115" t="s">
        <v>1273</v>
      </c>
      <c r="E122" s="214">
        <v>5009114.8</v>
      </c>
      <c r="F122" s="219">
        <v>41</v>
      </c>
      <c r="G122" s="219">
        <v>1</v>
      </c>
      <c r="J122" s="105"/>
      <c r="K122" s="99"/>
      <c r="L122" s="99"/>
      <c r="M122" s="108"/>
      <c r="N122" s="108"/>
      <c r="O122" s="108"/>
      <c r="P122" s="108"/>
      <c r="Q122" s="103"/>
    </row>
    <row r="123" spans="1:17">
      <c r="A123" s="101" t="s">
        <v>458</v>
      </c>
      <c r="B123" s="115" t="s">
        <v>1272</v>
      </c>
      <c r="C123" s="116" t="s">
        <v>154</v>
      </c>
      <c r="D123" s="115" t="s">
        <v>1273</v>
      </c>
      <c r="E123" s="214">
        <v>8973572.0999999996</v>
      </c>
      <c r="F123" s="219">
        <v>75</v>
      </c>
      <c r="G123" s="219">
        <v>1</v>
      </c>
      <c r="J123" s="105"/>
      <c r="K123" s="99"/>
      <c r="L123" s="99"/>
      <c r="M123" s="108"/>
      <c r="N123" s="108"/>
      <c r="O123" s="108"/>
      <c r="P123" s="108"/>
      <c r="Q123" s="103"/>
    </row>
    <row r="124" spans="1:17">
      <c r="A124" s="101" t="s">
        <v>460</v>
      </c>
      <c r="B124" s="115" t="s">
        <v>1272</v>
      </c>
      <c r="C124" s="116" t="s">
        <v>154</v>
      </c>
      <c r="D124" s="115" t="s">
        <v>1273</v>
      </c>
      <c r="E124" s="214">
        <v>7516722.7400000002</v>
      </c>
      <c r="F124" s="219">
        <v>50</v>
      </c>
      <c r="G124" s="219">
        <v>1</v>
      </c>
      <c r="J124" s="105"/>
      <c r="K124" s="99"/>
      <c r="L124" s="99"/>
      <c r="M124" s="108"/>
      <c r="N124" s="108"/>
      <c r="O124" s="108"/>
      <c r="P124" s="108"/>
      <c r="Q124" s="103"/>
    </row>
    <row r="125" spans="1:17">
      <c r="A125" s="101" t="s">
        <v>462</v>
      </c>
      <c r="B125" s="115" t="s">
        <v>1272</v>
      </c>
      <c r="C125" s="116" t="s">
        <v>166</v>
      </c>
      <c r="D125" s="115" t="s">
        <v>1271</v>
      </c>
      <c r="E125" s="214">
        <v>121118.25</v>
      </c>
      <c r="F125" s="219">
        <v>0</v>
      </c>
      <c r="G125" s="219">
        <v>1</v>
      </c>
      <c r="J125" s="105"/>
      <c r="K125" s="99"/>
      <c r="L125" s="99"/>
      <c r="M125" s="108"/>
      <c r="N125" s="108"/>
      <c r="O125" s="108"/>
      <c r="P125" s="108"/>
      <c r="Q125" s="103"/>
    </row>
    <row r="126" spans="1:17">
      <c r="A126" s="101" t="s">
        <v>464</v>
      </c>
      <c r="B126" s="115" t="s">
        <v>1272</v>
      </c>
      <c r="C126" s="116" t="s">
        <v>145</v>
      </c>
      <c r="D126" s="115" t="s">
        <v>1271</v>
      </c>
      <c r="E126" s="214">
        <v>187238.07</v>
      </c>
      <c r="F126" s="219">
        <v>19</v>
      </c>
      <c r="G126" s="219">
        <v>1</v>
      </c>
      <c r="J126" s="105"/>
      <c r="K126" s="99"/>
      <c r="L126" s="99"/>
      <c r="M126" s="108"/>
      <c r="N126" s="108"/>
      <c r="O126" s="108"/>
      <c r="P126" s="108"/>
      <c r="Q126" s="103"/>
    </row>
    <row r="127" spans="1:17">
      <c r="A127" s="101" t="s">
        <v>466</v>
      </c>
      <c r="B127" s="115" t="s">
        <v>1274</v>
      </c>
      <c r="C127" s="116" t="s">
        <v>114</v>
      </c>
      <c r="D127" s="115" t="s">
        <v>1273</v>
      </c>
      <c r="E127" s="214">
        <v>919942.08000000007</v>
      </c>
      <c r="F127" s="219">
        <v>30</v>
      </c>
      <c r="G127" s="219">
        <v>1</v>
      </c>
      <c r="J127" s="105"/>
      <c r="K127" s="99"/>
      <c r="L127" s="99"/>
      <c r="M127" s="108"/>
      <c r="N127" s="108"/>
      <c r="O127" s="108"/>
      <c r="P127" s="108"/>
      <c r="Q127" s="103"/>
    </row>
    <row r="128" spans="1:17">
      <c r="A128" s="101" t="s">
        <v>468</v>
      </c>
      <c r="B128" s="115" t="s">
        <v>1274</v>
      </c>
      <c r="C128" s="116" t="s">
        <v>114</v>
      </c>
      <c r="D128" s="115" t="s">
        <v>1271</v>
      </c>
      <c r="E128" s="214">
        <v>3497593.56</v>
      </c>
      <c r="F128" s="219">
        <v>84</v>
      </c>
      <c r="G128" s="219">
        <v>1</v>
      </c>
      <c r="J128" s="105"/>
      <c r="K128" s="99"/>
      <c r="L128" s="99"/>
      <c r="M128" s="108"/>
      <c r="N128" s="108"/>
      <c r="O128" s="108"/>
      <c r="P128" s="108"/>
      <c r="Q128" s="103"/>
    </row>
    <row r="129" spans="1:17">
      <c r="A129" s="101" t="s">
        <v>470</v>
      </c>
      <c r="B129" s="115" t="s">
        <v>1272</v>
      </c>
      <c r="C129" s="116" t="s">
        <v>137</v>
      </c>
      <c r="D129" s="115" t="s">
        <v>1271</v>
      </c>
      <c r="E129" s="214">
        <v>4474918.74</v>
      </c>
      <c r="F129" s="219">
        <v>80</v>
      </c>
      <c r="G129" s="219">
        <v>1</v>
      </c>
      <c r="J129" s="105"/>
      <c r="K129" s="99"/>
      <c r="L129" s="99"/>
      <c r="M129" s="108"/>
      <c r="N129" s="108"/>
      <c r="O129" s="108"/>
      <c r="P129" s="108"/>
      <c r="Q129" s="103"/>
    </row>
    <row r="130" spans="1:17">
      <c r="A130" s="101" t="s">
        <v>472</v>
      </c>
      <c r="B130" s="115" t="s">
        <v>1272</v>
      </c>
      <c r="C130" s="116" t="s">
        <v>120</v>
      </c>
      <c r="D130" s="115" t="s">
        <v>1273</v>
      </c>
      <c r="E130" s="214">
        <v>13251226.210000001</v>
      </c>
      <c r="F130" s="219">
        <v>100</v>
      </c>
      <c r="G130" s="219">
        <v>1</v>
      </c>
      <c r="J130" s="105"/>
      <c r="K130" s="99"/>
      <c r="L130" s="99"/>
      <c r="M130" s="108"/>
      <c r="N130" s="108"/>
      <c r="O130" s="108"/>
      <c r="P130" s="108"/>
      <c r="Q130" s="103"/>
    </row>
    <row r="131" spans="1:17">
      <c r="A131" s="101" t="s">
        <v>474</v>
      </c>
      <c r="B131" s="115" t="s">
        <v>1274</v>
      </c>
      <c r="C131" s="116" t="s">
        <v>181</v>
      </c>
      <c r="D131" s="115" t="s">
        <v>1273</v>
      </c>
      <c r="E131" s="214">
        <v>4632779.6400000006</v>
      </c>
      <c r="F131" s="219">
        <v>80</v>
      </c>
      <c r="G131" s="219">
        <v>1</v>
      </c>
      <c r="J131" s="105"/>
      <c r="K131" s="99"/>
      <c r="L131" s="99"/>
      <c r="M131" s="108"/>
      <c r="N131" s="108"/>
      <c r="O131" s="108"/>
      <c r="P131" s="108"/>
      <c r="Q131" s="103"/>
    </row>
    <row r="132" spans="1:17">
      <c r="A132" s="101" t="s">
        <v>476</v>
      </c>
      <c r="B132" s="115" t="s">
        <v>1272</v>
      </c>
      <c r="C132" s="116" t="s">
        <v>161</v>
      </c>
      <c r="D132" s="115" t="s">
        <v>1273</v>
      </c>
      <c r="E132" s="214">
        <v>1752593.6400000001</v>
      </c>
      <c r="F132" s="219">
        <v>28</v>
      </c>
      <c r="G132" s="219">
        <v>1</v>
      </c>
      <c r="J132" s="105"/>
      <c r="K132" s="99"/>
      <c r="L132" s="99"/>
      <c r="M132" s="108"/>
      <c r="N132" s="108"/>
      <c r="O132" s="108"/>
      <c r="P132" s="108"/>
      <c r="Q132" s="103"/>
    </row>
    <row r="133" spans="1:17">
      <c r="A133" s="101" t="s">
        <v>478</v>
      </c>
      <c r="B133" s="115" t="s">
        <v>1272</v>
      </c>
      <c r="C133" s="116" t="s">
        <v>159</v>
      </c>
      <c r="D133" s="115" t="s">
        <v>1273</v>
      </c>
      <c r="E133" s="214">
        <v>3889564.5</v>
      </c>
      <c r="F133" s="219">
        <v>40</v>
      </c>
      <c r="G133" s="219">
        <v>1</v>
      </c>
      <c r="J133" s="105"/>
      <c r="K133" s="99"/>
      <c r="L133" s="99"/>
      <c r="M133" s="108"/>
      <c r="N133" s="108"/>
      <c r="O133" s="108"/>
      <c r="P133" s="108"/>
      <c r="Q133" s="103"/>
    </row>
    <row r="134" spans="1:17">
      <c r="A134" s="101" t="s">
        <v>484</v>
      </c>
      <c r="B134" s="115" t="s">
        <v>1272</v>
      </c>
      <c r="C134" s="116" t="s">
        <v>174</v>
      </c>
      <c r="D134" s="115" t="s">
        <v>1273</v>
      </c>
      <c r="E134" s="214">
        <v>7717738.7000000002</v>
      </c>
      <c r="F134" s="219">
        <v>40</v>
      </c>
      <c r="G134" s="219">
        <v>1</v>
      </c>
      <c r="J134" s="105"/>
      <c r="K134" s="99"/>
      <c r="L134" s="99"/>
      <c r="M134" s="108"/>
      <c r="N134" s="108"/>
      <c r="O134" s="108"/>
      <c r="P134" s="108"/>
      <c r="Q134" s="103"/>
    </row>
    <row r="135" spans="1:17">
      <c r="A135" s="101" t="s">
        <v>486</v>
      </c>
      <c r="B135" s="115" t="s">
        <v>1272</v>
      </c>
      <c r="C135" s="116" t="s">
        <v>174</v>
      </c>
      <c r="D135" s="115" t="s">
        <v>1273</v>
      </c>
      <c r="E135" s="214">
        <v>20233635.270000003</v>
      </c>
      <c r="F135" s="219">
        <v>100</v>
      </c>
      <c r="G135" s="219">
        <v>1</v>
      </c>
      <c r="J135" s="105"/>
      <c r="K135" s="99"/>
      <c r="L135" s="99"/>
      <c r="M135" s="108"/>
      <c r="N135" s="108"/>
      <c r="O135" s="108"/>
      <c r="P135" s="108"/>
      <c r="Q135" s="103"/>
    </row>
    <row r="136" spans="1:17">
      <c r="A136" s="101" t="s">
        <v>488</v>
      </c>
      <c r="B136" s="115" t="s">
        <v>1272</v>
      </c>
      <c r="C136" s="116" t="s">
        <v>174</v>
      </c>
      <c r="D136" s="115" t="s">
        <v>1271</v>
      </c>
      <c r="E136" s="214">
        <v>4868842.49</v>
      </c>
      <c r="F136" s="219">
        <v>45</v>
      </c>
      <c r="G136" s="219">
        <v>1</v>
      </c>
      <c r="J136" s="105"/>
      <c r="K136" s="99"/>
      <c r="L136" s="99"/>
      <c r="M136" s="108"/>
      <c r="N136" s="108"/>
      <c r="O136" s="108"/>
      <c r="P136" s="108"/>
      <c r="Q136" s="103"/>
    </row>
    <row r="137" spans="1:17">
      <c r="A137" s="101" t="s">
        <v>490</v>
      </c>
      <c r="B137" s="115" t="s">
        <v>1274</v>
      </c>
      <c r="C137" s="116" t="s">
        <v>107</v>
      </c>
      <c r="D137" s="115" t="s">
        <v>1273</v>
      </c>
      <c r="E137" s="214">
        <v>1133891.49</v>
      </c>
      <c r="F137" s="219">
        <v>17</v>
      </c>
      <c r="G137" s="219">
        <v>1</v>
      </c>
      <c r="J137" s="105"/>
      <c r="K137" s="99"/>
      <c r="L137" s="99"/>
      <c r="M137" s="108"/>
      <c r="N137" s="108"/>
      <c r="O137" s="108"/>
      <c r="P137" s="108"/>
      <c r="Q137" s="103"/>
    </row>
    <row r="138" spans="1:17">
      <c r="A138" s="101" t="s">
        <v>1275</v>
      </c>
      <c r="B138" s="115" t="s">
        <v>1272</v>
      </c>
      <c r="C138" s="116" t="s">
        <v>152</v>
      </c>
      <c r="D138" s="115" t="s">
        <v>1271</v>
      </c>
      <c r="E138" s="214">
        <v>5295945.16</v>
      </c>
      <c r="F138" s="219">
        <v>99</v>
      </c>
      <c r="G138" s="219">
        <v>1</v>
      </c>
      <c r="J138" s="105"/>
      <c r="K138" s="99"/>
      <c r="L138" s="99"/>
      <c r="M138" s="108"/>
      <c r="N138" s="108"/>
      <c r="O138" s="108"/>
      <c r="P138" s="108"/>
      <c r="Q138" s="103"/>
    </row>
    <row r="139" spans="1:17">
      <c r="A139" s="101" t="s">
        <v>497</v>
      </c>
      <c r="B139" s="115" t="s">
        <v>1272</v>
      </c>
      <c r="C139" s="116" t="s">
        <v>174</v>
      </c>
      <c r="D139" s="115" t="s">
        <v>1273</v>
      </c>
      <c r="E139" s="214">
        <v>16447520.43</v>
      </c>
      <c r="F139" s="219">
        <v>89</v>
      </c>
      <c r="G139" s="219">
        <v>1</v>
      </c>
      <c r="J139" s="105"/>
      <c r="K139" s="99"/>
      <c r="L139" s="99"/>
      <c r="M139" s="108"/>
      <c r="N139" s="108"/>
      <c r="O139" s="108"/>
      <c r="P139" s="108"/>
      <c r="Q139" s="103"/>
    </row>
    <row r="140" spans="1:17">
      <c r="A140" s="101" t="s">
        <v>501</v>
      </c>
      <c r="B140" s="115" t="s">
        <v>1274</v>
      </c>
      <c r="C140" s="116" t="s">
        <v>108</v>
      </c>
      <c r="D140" s="115" t="s">
        <v>1273</v>
      </c>
      <c r="E140" s="214">
        <v>2928815.6</v>
      </c>
      <c r="F140" s="219">
        <v>28</v>
      </c>
      <c r="G140" s="219">
        <v>1</v>
      </c>
      <c r="J140" s="105"/>
      <c r="K140" s="99"/>
      <c r="L140" s="99"/>
      <c r="M140" s="108"/>
      <c r="N140" s="108"/>
      <c r="O140" s="108"/>
      <c r="P140" s="108"/>
      <c r="Q140" s="103"/>
    </row>
    <row r="141" spans="1:17">
      <c r="A141" s="101" t="s">
        <v>503</v>
      </c>
      <c r="B141" s="115" t="s">
        <v>1272</v>
      </c>
      <c r="C141" s="116" t="s">
        <v>154</v>
      </c>
      <c r="D141" s="115" t="s">
        <v>1271</v>
      </c>
      <c r="E141" s="214">
        <v>1473698.53</v>
      </c>
      <c r="F141" s="219">
        <v>35</v>
      </c>
      <c r="G141" s="219">
        <v>1</v>
      </c>
      <c r="J141" s="105"/>
      <c r="K141" s="99"/>
      <c r="L141" s="99"/>
      <c r="M141" s="108"/>
      <c r="N141" s="108"/>
      <c r="O141" s="108"/>
      <c r="P141" s="108"/>
      <c r="Q141" s="103"/>
    </row>
    <row r="142" spans="1:17">
      <c r="A142" s="101" t="s">
        <v>505</v>
      </c>
      <c r="B142" s="115" t="s">
        <v>1272</v>
      </c>
      <c r="C142" s="116" t="s">
        <v>138</v>
      </c>
      <c r="D142" s="115" t="s">
        <v>1271</v>
      </c>
      <c r="E142" s="214">
        <v>1350888.96</v>
      </c>
      <c r="F142" s="219">
        <v>34</v>
      </c>
      <c r="G142" s="219">
        <v>1</v>
      </c>
      <c r="J142" s="105"/>
      <c r="K142" s="99"/>
      <c r="L142" s="99"/>
      <c r="M142" s="108"/>
      <c r="N142" s="108"/>
      <c r="O142" s="108"/>
      <c r="P142" s="108"/>
      <c r="Q142" s="103"/>
    </row>
    <row r="143" spans="1:17">
      <c r="A143" s="101" t="s">
        <v>507</v>
      </c>
      <c r="B143" s="115" t="s">
        <v>1272</v>
      </c>
      <c r="C143" s="116" t="s">
        <v>138</v>
      </c>
      <c r="D143" s="115" t="s">
        <v>1273</v>
      </c>
      <c r="E143" s="214">
        <v>3659935.8600000003</v>
      </c>
      <c r="F143" s="219">
        <v>49</v>
      </c>
      <c r="G143" s="219">
        <v>1</v>
      </c>
      <c r="J143" s="105"/>
      <c r="K143" s="99"/>
      <c r="L143" s="99"/>
      <c r="M143" s="108"/>
      <c r="N143" s="108"/>
      <c r="O143" s="108"/>
      <c r="P143" s="108"/>
      <c r="Q143" s="103"/>
    </row>
    <row r="144" spans="1:17">
      <c r="A144" s="101" t="s">
        <v>509</v>
      </c>
      <c r="B144" s="115" t="s">
        <v>1272</v>
      </c>
      <c r="C144" s="116" t="s">
        <v>154</v>
      </c>
      <c r="D144" s="115" t="s">
        <v>1273</v>
      </c>
      <c r="E144" s="214">
        <v>9645136.2400000002</v>
      </c>
      <c r="F144" s="219">
        <v>64</v>
      </c>
      <c r="G144" s="219">
        <v>1</v>
      </c>
      <c r="J144" s="105"/>
      <c r="K144" s="99"/>
      <c r="L144" s="99"/>
      <c r="M144" s="108"/>
      <c r="N144" s="108"/>
      <c r="O144" s="108"/>
      <c r="P144" s="108"/>
      <c r="Q144" s="103"/>
    </row>
    <row r="145" spans="1:17">
      <c r="A145" s="101" t="s">
        <v>513</v>
      </c>
      <c r="B145" s="115" t="s">
        <v>1274</v>
      </c>
      <c r="C145" s="116" t="s">
        <v>179</v>
      </c>
      <c r="D145" s="115" t="s">
        <v>1273</v>
      </c>
      <c r="E145" s="214">
        <v>259923.68</v>
      </c>
      <c r="F145" s="219">
        <v>8</v>
      </c>
      <c r="G145" s="219">
        <v>1</v>
      </c>
      <c r="J145" s="105"/>
      <c r="K145" s="99"/>
      <c r="L145" s="99"/>
      <c r="M145" s="108"/>
      <c r="N145" s="108"/>
      <c r="O145" s="108"/>
      <c r="P145" s="108"/>
      <c r="Q145" s="103"/>
    </row>
    <row r="146" spans="1:17">
      <c r="A146" s="101" t="s">
        <v>514</v>
      </c>
      <c r="B146" s="115" t="s">
        <v>1272</v>
      </c>
      <c r="C146" s="116" t="s">
        <v>151</v>
      </c>
      <c r="D146" s="115" t="s">
        <v>1273</v>
      </c>
      <c r="E146" s="214">
        <v>4022645.9699999997</v>
      </c>
      <c r="F146" s="219">
        <v>46</v>
      </c>
      <c r="G146" s="219">
        <v>1</v>
      </c>
      <c r="J146" s="105"/>
      <c r="K146" s="99"/>
      <c r="L146" s="99"/>
      <c r="M146" s="108"/>
      <c r="N146" s="108"/>
      <c r="O146" s="108"/>
      <c r="P146" s="108"/>
      <c r="Q146" s="103"/>
    </row>
    <row r="147" spans="1:17">
      <c r="A147" s="101" t="s">
        <v>516</v>
      </c>
      <c r="B147" s="115" t="s">
        <v>1274</v>
      </c>
      <c r="C147" s="116" t="s">
        <v>164</v>
      </c>
      <c r="D147" s="115" t="s">
        <v>1271</v>
      </c>
      <c r="E147" s="214">
        <v>694447.32000000007</v>
      </c>
      <c r="F147" s="219">
        <v>25</v>
      </c>
      <c r="G147" s="219">
        <v>1</v>
      </c>
      <c r="J147" s="105"/>
      <c r="K147" s="99"/>
      <c r="L147" s="99"/>
      <c r="M147" s="108"/>
      <c r="N147" s="108"/>
      <c r="O147" s="108"/>
      <c r="P147" s="108"/>
      <c r="Q147" s="103"/>
    </row>
    <row r="148" spans="1:17">
      <c r="A148" s="101" t="s">
        <v>518</v>
      </c>
      <c r="B148" s="115" t="s">
        <v>1272</v>
      </c>
      <c r="C148" s="116" t="s">
        <v>116</v>
      </c>
      <c r="D148" s="115" t="s">
        <v>1273</v>
      </c>
      <c r="E148" s="214">
        <v>12893351.559999999</v>
      </c>
      <c r="F148" s="219">
        <v>85</v>
      </c>
      <c r="G148" s="219">
        <v>1</v>
      </c>
      <c r="J148" s="105"/>
      <c r="K148" s="99"/>
      <c r="L148" s="99"/>
      <c r="M148" s="108"/>
      <c r="N148" s="108"/>
      <c r="O148" s="108"/>
      <c r="P148" s="108"/>
      <c r="Q148" s="103"/>
    </row>
    <row r="149" spans="1:17">
      <c r="A149" s="101" t="s">
        <v>522</v>
      </c>
      <c r="B149" s="115" t="s">
        <v>1272</v>
      </c>
      <c r="C149" s="116" t="s">
        <v>122</v>
      </c>
      <c r="D149" s="115" t="s">
        <v>1271</v>
      </c>
      <c r="E149" s="214">
        <v>9765730.3500000015</v>
      </c>
      <c r="F149" s="219">
        <v>82</v>
      </c>
      <c r="G149" s="219">
        <v>1</v>
      </c>
      <c r="J149" s="105"/>
      <c r="K149" s="99"/>
      <c r="L149" s="99"/>
      <c r="M149" s="108"/>
      <c r="N149" s="108"/>
      <c r="O149" s="108"/>
      <c r="P149" s="108"/>
      <c r="Q149" s="103"/>
    </row>
    <row r="150" spans="1:17">
      <c r="A150" s="101" t="s">
        <v>524</v>
      </c>
      <c r="B150" s="115" t="s">
        <v>1272</v>
      </c>
      <c r="C150" s="116" t="s">
        <v>137</v>
      </c>
      <c r="D150" s="115" t="s">
        <v>1271</v>
      </c>
      <c r="E150" s="214">
        <v>1402897.01</v>
      </c>
      <c r="F150" s="219">
        <v>30</v>
      </c>
      <c r="G150" s="219">
        <v>1</v>
      </c>
      <c r="J150" s="105"/>
      <c r="K150" s="99"/>
      <c r="L150" s="99"/>
      <c r="M150" s="108"/>
      <c r="N150" s="108"/>
      <c r="O150" s="108"/>
      <c r="P150" s="108"/>
      <c r="Q150" s="103"/>
    </row>
    <row r="151" spans="1:17">
      <c r="A151" s="101" t="s">
        <v>526</v>
      </c>
      <c r="B151" s="115" t="s">
        <v>1272</v>
      </c>
      <c r="C151" s="116" t="s">
        <v>120</v>
      </c>
      <c r="D151" s="115" t="s">
        <v>1271</v>
      </c>
      <c r="E151" s="214">
        <v>682342.40000000002</v>
      </c>
      <c r="F151" s="219">
        <v>30</v>
      </c>
      <c r="G151" s="219">
        <v>1</v>
      </c>
      <c r="J151" s="105"/>
      <c r="K151" s="99"/>
      <c r="L151" s="99"/>
      <c r="M151" s="108"/>
      <c r="N151" s="108"/>
      <c r="O151" s="108"/>
      <c r="P151" s="108"/>
      <c r="Q151" s="103"/>
    </row>
    <row r="152" spans="1:17">
      <c r="A152" s="101" t="s">
        <v>528</v>
      </c>
      <c r="B152" s="115" t="s">
        <v>1274</v>
      </c>
      <c r="C152" s="116" t="s">
        <v>129</v>
      </c>
      <c r="D152" s="115" t="s">
        <v>1273</v>
      </c>
      <c r="E152" s="214">
        <v>1680794.33</v>
      </c>
      <c r="F152" s="219">
        <v>27</v>
      </c>
      <c r="G152" s="219">
        <v>1</v>
      </c>
      <c r="J152" s="105"/>
      <c r="K152" s="99"/>
      <c r="L152" s="99"/>
      <c r="M152" s="108"/>
      <c r="N152" s="108"/>
      <c r="O152" s="108"/>
      <c r="P152" s="108"/>
      <c r="Q152" s="103"/>
    </row>
    <row r="153" spans="1:17">
      <c r="A153" s="101" t="s">
        <v>530</v>
      </c>
      <c r="B153" s="115" t="s">
        <v>1274</v>
      </c>
      <c r="C153" s="116" t="s">
        <v>129</v>
      </c>
      <c r="D153" s="115" t="s">
        <v>1273</v>
      </c>
      <c r="E153" s="214">
        <v>6209142.0500000007</v>
      </c>
      <c r="F153" s="219">
        <v>50</v>
      </c>
      <c r="G153" s="219">
        <v>1</v>
      </c>
      <c r="J153" s="105"/>
      <c r="K153" s="99"/>
      <c r="L153" s="99"/>
      <c r="M153" s="108"/>
      <c r="N153" s="108"/>
      <c r="O153" s="108"/>
      <c r="P153" s="108"/>
      <c r="Q153" s="103"/>
    </row>
    <row r="154" spans="1:17">
      <c r="A154" s="101" t="s">
        <v>532</v>
      </c>
      <c r="B154" s="115" t="s">
        <v>1274</v>
      </c>
      <c r="C154" s="116" t="s">
        <v>129</v>
      </c>
      <c r="D154" s="115" t="s">
        <v>1271</v>
      </c>
      <c r="E154" s="214">
        <v>8707549.0199999996</v>
      </c>
      <c r="F154" s="219">
        <v>105</v>
      </c>
      <c r="G154" s="219">
        <v>1</v>
      </c>
      <c r="J154" s="105"/>
      <c r="K154" s="99"/>
      <c r="L154" s="99"/>
      <c r="M154" s="108"/>
      <c r="N154" s="108"/>
      <c r="O154" s="108"/>
      <c r="P154" s="108"/>
      <c r="Q154" s="103"/>
    </row>
    <row r="155" spans="1:17">
      <c r="A155" s="101" t="s">
        <v>536</v>
      </c>
      <c r="B155" s="115" t="s">
        <v>1274</v>
      </c>
      <c r="C155" s="116" t="s">
        <v>129</v>
      </c>
      <c r="D155" s="115" t="s">
        <v>1271</v>
      </c>
      <c r="E155" s="214">
        <v>3771669.54</v>
      </c>
      <c r="F155" s="219">
        <v>42</v>
      </c>
      <c r="G155" s="219">
        <v>1</v>
      </c>
      <c r="J155" s="105"/>
      <c r="K155" s="99"/>
      <c r="L155" s="99"/>
      <c r="M155" s="108"/>
      <c r="N155" s="108"/>
      <c r="O155" s="108"/>
      <c r="P155" s="108"/>
      <c r="Q155" s="103"/>
    </row>
    <row r="156" spans="1:17">
      <c r="A156" s="101" t="s">
        <v>538</v>
      </c>
      <c r="B156" s="115" t="s">
        <v>1274</v>
      </c>
      <c r="C156" s="116" t="s">
        <v>105</v>
      </c>
      <c r="D156" s="115" t="s">
        <v>1273</v>
      </c>
      <c r="E156" s="214">
        <v>1486720.93</v>
      </c>
      <c r="F156" s="219">
        <v>28</v>
      </c>
      <c r="G156" s="219">
        <v>1</v>
      </c>
      <c r="J156" s="105"/>
      <c r="K156" s="99"/>
      <c r="L156" s="99"/>
      <c r="M156" s="108"/>
      <c r="N156" s="108"/>
      <c r="O156" s="108"/>
      <c r="P156" s="108"/>
      <c r="Q156" s="103"/>
    </row>
    <row r="157" spans="1:17">
      <c r="A157" s="101" t="s">
        <v>540</v>
      </c>
      <c r="B157" s="115" t="s">
        <v>1272</v>
      </c>
      <c r="C157" s="116" t="s">
        <v>135</v>
      </c>
      <c r="D157" s="115" t="s">
        <v>1273</v>
      </c>
      <c r="E157" s="214">
        <v>17690307.41</v>
      </c>
      <c r="F157" s="219">
        <v>86</v>
      </c>
      <c r="G157" s="219">
        <v>1</v>
      </c>
      <c r="J157" s="105"/>
      <c r="K157" s="99"/>
      <c r="L157" s="99"/>
      <c r="M157" s="108"/>
      <c r="N157" s="108"/>
      <c r="O157" s="108"/>
      <c r="P157" s="108"/>
      <c r="Q157" s="103"/>
    </row>
    <row r="158" spans="1:17">
      <c r="A158" s="101" t="s">
        <v>542</v>
      </c>
      <c r="B158" s="115" t="s">
        <v>1272</v>
      </c>
      <c r="C158" s="116" t="s">
        <v>112</v>
      </c>
      <c r="D158" s="115" t="s">
        <v>1273</v>
      </c>
      <c r="E158" s="214">
        <v>8359952.8499999996</v>
      </c>
      <c r="F158" s="219">
        <v>50</v>
      </c>
      <c r="G158" s="219">
        <v>1</v>
      </c>
      <c r="J158" s="105"/>
      <c r="K158" s="99"/>
      <c r="L158" s="99"/>
      <c r="M158" s="108"/>
      <c r="N158" s="108"/>
      <c r="O158" s="108"/>
      <c r="P158" s="108"/>
      <c r="Q158" s="103"/>
    </row>
    <row r="159" spans="1:17">
      <c r="A159" s="101" t="s">
        <v>544</v>
      </c>
      <c r="B159" s="115" t="s">
        <v>1272</v>
      </c>
      <c r="C159" s="116" t="s">
        <v>154</v>
      </c>
      <c r="D159" s="115" t="s">
        <v>1271</v>
      </c>
      <c r="E159" s="214">
        <v>5393552.3300000001</v>
      </c>
      <c r="F159" s="219">
        <v>40</v>
      </c>
      <c r="G159" s="219">
        <v>1</v>
      </c>
      <c r="J159" s="105"/>
      <c r="K159" s="99"/>
      <c r="L159" s="99"/>
      <c r="M159" s="108"/>
      <c r="N159" s="108"/>
      <c r="O159" s="108"/>
      <c r="P159" s="108"/>
      <c r="Q159" s="103"/>
    </row>
    <row r="160" spans="1:17">
      <c r="A160" s="101" t="s">
        <v>546</v>
      </c>
      <c r="B160" s="115" t="s">
        <v>1272</v>
      </c>
      <c r="C160" s="116" t="s">
        <v>147</v>
      </c>
      <c r="D160" s="115" t="s">
        <v>1273</v>
      </c>
      <c r="E160" s="214">
        <v>9497701.6499999985</v>
      </c>
      <c r="F160" s="219">
        <v>45</v>
      </c>
      <c r="G160" s="219">
        <v>1</v>
      </c>
      <c r="J160" s="105"/>
      <c r="K160" s="99"/>
      <c r="L160" s="99"/>
      <c r="M160" s="108"/>
      <c r="N160" s="108"/>
      <c r="O160" s="108"/>
      <c r="P160" s="108"/>
      <c r="Q160" s="103"/>
    </row>
    <row r="161" spans="1:17">
      <c r="A161" s="101" t="s">
        <v>550</v>
      </c>
      <c r="B161" s="115" t="s">
        <v>1272</v>
      </c>
      <c r="C161" s="116" t="s">
        <v>146</v>
      </c>
      <c r="D161" s="115" t="s">
        <v>1273</v>
      </c>
      <c r="E161" s="214">
        <v>8703819.5399999991</v>
      </c>
      <c r="F161" s="219">
        <v>60</v>
      </c>
      <c r="G161" s="219">
        <v>1</v>
      </c>
      <c r="J161" s="105"/>
      <c r="K161" s="99"/>
      <c r="L161" s="99"/>
      <c r="M161" s="108"/>
      <c r="N161" s="108"/>
      <c r="O161" s="108"/>
      <c r="P161" s="108"/>
      <c r="Q161" s="103"/>
    </row>
    <row r="162" spans="1:17">
      <c r="A162" s="101" t="s">
        <v>552</v>
      </c>
      <c r="B162" s="115" t="s">
        <v>1274</v>
      </c>
      <c r="C162" s="116" t="s">
        <v>105</v>
      </c>
      <c r="D162" s="115" t="s">
        <v>1273</v>
      </c>
      <c r="E162" s="214">
        <v>1235897.8799999999</v>
      </c>
      <c r="F162" s="219">
        <v>22</v>
      </c>
      <c r="G162" s="219">
        <v>1</v>
      </c>
      <c r="J162" s="105"/>
      <c r="K162" s="99"/>
      <c r="L162" s="99"/>
      <c r="M162" s="108"/>
      <c r="N162" s="108"/>
      <c r="O162" s="108"/>
      <c r="P162" s="108"/>
      <c r="Q162" s="103"/>
    </row>
    <row r="163" spans="1:17">
      <c r="A163" s="101" t="s">
        <v>554</v>
      </c>
      <c r="B163" s="115" t="s">
        <v>1274</v>
      </c>
      <c r="C163" s="116" t="s">
        <v>125</v>
      </c>
      <c r="D163" s="115" t="s">
        <v>1273</v>
      </c>
      <c r="E163" s="214">
        <v>1760056.87</v>
      </c>
      <c r="F163" s="219">
        <v>23</v>
      </c>
      <c r="G163" s="219">
        <v>1</v>
      </c>
      <c r="J163" s="105"/>
      <c r="K163" s="99"/>
      <c r="L163" s="99"/>
      <c r="M163" s="108"/>
      <c r="N163" s="108"/>
      <c r="O163" s="108"/>
      <c r="P163" s="108"/>
      <c r="Q163" s="103"/>
    </row>
    <row r="164" spans="1:17">
      <c r="A164" s="101" t="s">
        <v>556</v>
      </c>
      <c r="B164" s="115" t="s">
        <v>1274</v>
      </c>
      <c r="C164" s="116" t="s">
        <v>130</v>
      </c>
      <c r="D164" s="115" t="s">
        <v>1273</v>
      </c>
      <c r="E164" s="214">
        <v>7030959.0700000003</v>
      </c>
      <c r="F164" s="219">
        <v>40</v>
      </c>
      <c r="G164" s="219">
        <v>1</v>
      </c>
      <c r="J164" s="105"/>
      <c r="K164" s="99"/>
      <c r="L164" s="99"/>
      <c r="M164" s="108"/>
      <c r="N164" s="108"/>
      <c r="O164" s="108"/>
      <c r="P164" s="108"/>
      <c r="Q164" s="103"/>
    </row>
    <row r="165" spans="1:17">
      <c r="A165" s="101" t="s">
        <v>558</v>
      </c>
      <c r="B165" s="115" t="s">
        <v>1274</v>
      </c>
      <c r="C165" s="116" t="s">
        <v>35</v>
      </c>
      <c r="D165" s="115" t="s">
        <v>1273</v>
      </c>
      <c r="E165" s="214">
        <v>3733210.01</v>
      </c>
      <c r="F165" s="219">
        <v>40</v>
      </c>
      <c r="G165" s="219">
        <v>1</v>
      </c>
      <c r="J165" s="105"/>
      <c r="K165" s="99"/>
      <c r="L165" s="99"/>
      <c r="M165" s="108"/>
      <c r="N165" s="108"/>
      <c r="O165" s="108"/>
      <c r="P165" s="108"/>
      <c r="Q165" s="103"/>
    </row>
    <row r="166" spans="1:17">
      <c r="A166" s="101" t="s">
        <v>560</v>
      </c>
      <c r="B166" s="115" t="s">
        <v>1272</v>
      </c>
      <c r="C166" s="116" t="s">
        <v>122</v>
      </c>
      <c r="D166" s="115" t="s">
        <v>1273</v>
      </c>
      <c r="E166" s="214">
        <v>6464740.4500000002</v>
      </c>
      <c r="F166" s="219">
        <v>64</v>
      </c>
      <c r="G166" s="219">
        <v>1</v>
      </c>
      <c r="J166" s="105"/>
      <c r="K166" s="99"/>
      <c r="L166" s="99"/>
      <c r="M166" s="108"/>
      <c r="N166" s="108"/>
      <c r="O166" s="108"/>
      <c r="P166" s="108"/>
      <c r="Q166" s="103"/>
    </row>
    <row r="167" spans="1:17">
      <c r="A167" s="101" t="s">
        <v>562</v>
      </c>
      <c r="B167" s="115" t="s">
        <v>1272</v>
      </c>
      <c r="C167" s="116" t="s">
        <v>155</v>
      </c>
      <c r="D167" s="115" t="s">
        <v>1273</v>
      </c>
      <c r="E167" s="214">
        <v>10447113.67</v>
      </c>
      <c r="F167" s="219">
        <v>70</v>
      </c>
      <c r="G167" s="219">
        <v>1</v>
      </c>
      <c r="J167" s="105"/>
      <c r="K167" s="99"/>
      <c r="L167" s="99"/>
      <c r="M167" s="108"/>
      <c r="N167" s="108"/>
      <c r="O167" s="108"/>
      <c r="P167" s="108"/>
      <c r="Q167" s="103"/>
    </row>
    <row r="168" spans="1:17">
      <c r="A168" s="101" t="s">
        <v>564</v>
      </c>
      <c r="B168" s="115" t="s">
        <v>1274</v>
      </c>
      <c r="C168" s="116" t="s">
        <v>139</v>
      </c>
      <c r="D168" s="115" t="s">
        <v>1273</v>
      </c>
      <c r="E168" s="214">
        <v>5514642.8300000001</v>
      </c>
      <c r="F168" s="219">
        <v>34</v>
      </c>
      <c r="G168" s="219">
        <v>1</v>
      </c>
      <c r="J168" s="105"/>
      <c r="K168" s="99"/>
      <c r="L168" s="99"/>
      <c r="M168" s="108"/>
      <c r="N168" s="108"/>
      <c r="O168" s="108"/>
      <c r="P168" s="108"/>
      <c r="Q168" s="103"/>
    </row>
    <row r="169" spans="1:17">
      <c r="A169" s="101" t="s">
        <v>1430</v>
      </c>
      <c r="B169" s="115" t="s">
        <v>1274</v>
      </c>
      <c r="C169" s="116" t="s">
        <v>148</v>
      </c>
      <c r="D169" s="115" t="s">
        <v>1273</v>
      </c>
      <c r="E169" s="214">
        <v>1215526.48</v>
      </c>
      <c r="F169" s="219">
        <v>15</v>
      </c>
      <c r="G169" s="219">
        <v>1</v>
      </c>
      <c r="J169" s="105"/>
      <c r="K169" s="99"/>
      <c r="L169" s="99"/>
      <c r="M169" s="108"/>
      <c r="N169" s="108"/>
      <c r="O169" s="108"/>
      <c r="P169" s="108"/>
      <c r="Q169" s="103"/>
    </row>
    <row r="170" spans="1:17">
      <c r="A170" s="101" t="s">
        <v>566</v>
      </c>
      <c r="B170" s="115" t="s">
        <v>1274</v>
      </c>
      <c r="C170" s="116" t="s">
        <v>121</v>
      </c>
      <c r="D170" s="115" t="s">
        <v>1273</v>
      </c>
      <c r="E170" s="214">
        <v>2257533.08</v>
      </c>
      <c r="F170" s="219">
        <v>24</v>
      </c>
      <c r="G170" s="219">
        <v>1</v>
      </c>
      <c r="J170" s="105"/>
      <c r="K170" s="99"/>
      <c r="L170" s="99"/>
      <c r="M170" s="108"/>
      <c r="N170" s="108"/>
      <c r="O170" s="108"/>
      <c r="P170" s="108"/>
      <c r="Q170" s="103"/>
    </row>
    <row r="171" spans="1:17">
      <c r="A171" s="101" t="s">
        <v>568</v>
      </c>
      <c r="B171" s="115" t="s">
        <v>1274</v>
      </c>
      <c r="C171" s="116" t="s">
        <v>129</v>
      </c>
      <c r="D171" s="115" t="s">
        <v>1273</v>
      </c>
      <c r="E171" s="214">
        <v>4495838.8900000006</v>
      </c>
      <c r="F171" s="219">
        <v>36</v>
      </c>
      <c r="G171" s="219">
        <v>1</v>
      </c>
      <c r="J171" s="105"/>
      <c r="K171" s="99"/>
      <c r="L171" s="99"/>
      <c r="M171" s="108"/>
      <c r="N171" s="108"/>
      <c r="O171" s="108"/>
      <c r="P171" s="108"/>
      <c r="Q171" s="103"/>
    </row>
    <row r="172" spans="1:17">
      <c r="A172" s="101" t="s">
        <v>570</v>
      </c>
      <c r="B172" s="115" t="s">
        <v>1272</v>
      </c>
      <c r="C172" s="116" t="s">
        <v>112</v>
      </c>
      <c r="D172" s="115" t="s">
        <v>1271</v>
      </c>
      <c r="E172" s="214">
        <v>6234257.5</v>
      </c>
      <c r="F172" s="219">
        <v>70</v>
      </c>
      <c r="G172" s="219">
        <v>1</v>
      </c>
      <c r="J172" s="105"/>
      <c r="K172" s="99"/>
      <c r="L172" s="99"/>
      <c r="M172" s="108"/>
      <c r="N172" s="108"/>
      <c r="O172" s="108"/>
      <c r="P172" s="108"/>
      <c r="Q172" s="103"/>
    </row>
    <row r="173" spans="1:17">
      <c r="A173" s="101" t="s">
        <v>572</v>
      </c>
      <c r="B173" s="115" t="s">
        <v>1272</v>
      </c>
      <c r="C173" s="116" t="s">
        <v>106</v>
      </c>
      <c r="D173" s="115" t="s">
        <v>1273</v>
      </c>
      <c r="E173" s="214">
        <v>3153075.12</v>
      </c>
      <c r="F173" s="219">
        <v>30</v>
      </c>
      <c r="G173" s="219">
        <v>1</v>
      </c>
      <c r="J173" s="105"/>
      <c r="K173" s="99"/>
      <c r="L173" s="99"/>
      <c r="M173" s="108"/>
      <c r="N173" s="108"/>
      <c r="O173" s="108"/>
      <c r="P173" s="108"/>
      <c r="Q173" s="103"/>
    </row>
    <row r="174" spans="1:17">
      <c r="A174" s="101" t="s">
        <v>574</v>
      </c>
      <c r="B174" s="115" t="s">
        <v>1272</v>
      </c>
      <c r="C174" s="116" t="s">
        <v>106</v>
      </c>
      <c r="D174" s="115" t="s">
        <v>1271</v>
      </c>
      <c r="E174" s="214">
        <v>5457280.9499999993</v>
      </c>
      <c r="F174" s="219">
        <v>78</v>
      </c>
      <c r="G174" s="219">
        <v>1</v>
      </c>
      <c r="J174" s="105"/>
      <c r="K174" s="99"/>
      <c r="L174" s="99"/>
      <c r="M174" s="108"/>
      <c r="N174" s="108"/>
      <c r="O174" s="108"/>
      <c r="P174" s="108"/>
      <c r="Q174" s="103"/>
    </row>
    <row r="175" spans="1:17">
      <c r="A175" s="101" t="s">
        <v>576</v>
      </c>
      <c r="B175" s="115" t="s">
        <v>1272</v>
      </c>
      <c r="C175" s="116" t="s">
        <v>128</v>
      </c>
      <c r="D175" s="115" t="s">
        <v>1271</v>
      </c>
      <c r="E175" s="214">
        <v>14136688.109999999</v>
      </c>
      <c r="F175" s="219">
        <v>93</v>
      </c>
      <c r="G175" s="219">
        <v>1</v>
      </c>
      <c r="J175" s="105"/>
      <c r="K175" s="99"/>
      <c r="L175" s="99"/>
      <c r="M175" s="108"/>
      <c r="N175" s="108"/>
      <c r="O175" s="108"/>
      <c r="P175" s="108"/>
      <c r="Q175" s="103"/>
    </row>
    <row r="176" spans="1:17">
      <c r="A176" s="101" t="s">
        <v>578</v>
      </c>
      <c r="B176" s="115" t="s">
        <v>1272</v>
      </c>
      <c r="C176" s="116" t="s">
        <v>161</v>
      </c>
      <c r="D176" s="115" t="s">
        <v>1273</v>
      </c>
      <c r="E176" s="214">
        <v>781355.33000000007</v>
      </c>
      <c r="F176" s="219">
        <v>22</v>
      </c>
      <c r="G176" s="219">
        <v>1</v>
      </c>
      <c r="J176" s="105"/>
      <c r="K176" s="99"/>
      <c r="L176" s="99"/>
      <c r="M176" s="108"/>
      <c r="N176" s="108"/>
      <c r="O176" s="108"/>
      <c r="P176" s="108"/>
      <c r="Q176" s="103"/>
    </row>
    <row r="177" spans="1:17">
      <c r="A177" s="101" t="s">
        <v>580</v>
      </c>
      <c r="B177" s="115" t="s">
        <v>1274</v>
      </c>
      <c r="C177" s="116" t="s">
        <v>129</v>
      </c>
      <c r="D177" s="115" t="s">
        <v>1273</v>
      </c>
      <c r="E177" s="214">
        <v>11527443.190000001</v>
      </c>
      <c r="F177" s="219">
        <v>80</v>
      </c>
      <c r="G177" s="219">
        <v>1</v>
      </c>
      <c r="J177" s="105"/>
      <c r="K177" s="99"/>
      <c r="L177" s="99"/>
      <c r="M177" s="108"/>
      <c r="N177" s="108"/>
      <c r="O177" s="108"/>
      <c r="P177" s="108"/>
      <c r="Q177" s="103"/>
    </row>
    <row r="178" spans="1:17">
      <c r="A178" s="101" t="s">
        <v>582</v>
      </c>
      <c r="B178" s="115" t="s">
        <v>1272</v>
      </c>
      <c r="C178" s="116" t="s">
        <v>116</v>
      </c>
      <c r="D178" s="115" t="s">
        <v>1273</v>
      </c>
      <c r="E178" s="214">
        <v>12437609.07</v>
      </c>
      <c r="F178" s="219">
        <v>80</v>
      </c>
      <c r="G178" s="219">
        <v>1</v>
      </c>
      <c r="J178" s="105"/>
      <c r="K178" s="99"/>
      <c r="L178" s="99"/>
      <c r="M178" s="108"/>
      <c r="N178" s="108"/>
      <c r="O178" s="108"/>
      <c r="P178" s="108"/>
      <c r="Q178" s="103"/>
    </row>
    <row r="179" spans="1:17">
      <c r="A179" s="101" t="s">
        <v>584</v>
      </c>
      <c r="B179" s="115" t="s">
        <v>1272</v>
      </c>
      <c r="C179" s="116" t="s">
        <v>109</v>
      </c>
      <c r="D179" s="115" t="s">
        <v>1271</v>
      </c>
      <c r="E179" s="214">
        <v>833947.23</v>
      </c>
      <c r="F179" s="219">
        <v>30</v>
      </c>
      <c r="G179" s="219">
        <v>1</v>
      </c>
      <c r="J179" s="105"/>
      <c r="K179" s="99"/>
      <c r="L179" s="99"/>
      <c r="M179" s="108"/>
      <c r="N179" s="108"/>
      <c r="O179" s="108"/>
      <c r="P179" s="108"/>
      <c r="Q179" s="103"/>
    </row>
    <row r="180" spans="1:17">
      <c r="A180" s="101" t="s">
        <v>586</v>
      </c>
      <c r="B180" s="115" t="s">
        <v>1272</v>
      </c>
      <c r="C180" s="116" t="s">
        <v>116</v>
      </c>
      <c r="D180" s="115" t="s">
        <v>1273</v>
      </c>
      <c r="E180" s="214">
        <v>13992701.66</v>
      </c>
      <c r="F180" s="219">
        <v>73</v>
      </c>
      <c r="G180" s="219">
        <v>1</v>
      </c>
      <c r="J180" s="105"/>
      <c r="K180" s="99"/>
      <c r="L180" s="99"/>
      <c r="M180" s="108"/>
      <c r="N180" s="108"/>
      <c r="O180" s="108"/>
      <c r="P180" s="108"/>
      <c r="Q180" s="103"/>
    </row>
    <row r="181" spans="1:17">
      <c r="A181" s="101" t="s">
        <v>590</v>
      </c>
      <c r="B181" s="115" t="s">
        <v>1272</v>
      </c>
      <c r="C181" s="116" t="s">
        <v>111</v>
      </c>
      <c r="D181" s="115" t="s">
        <v>1273</v>
      </c>
      <c r="E181" s="214">
        <v>9053780.4699999988</v>
      </c>
      <c r="F181" s="219">
        <v>47</v>
      </c>
      <c r="G181" s="219">
        <v>1</v>
      </c>
      <c r="J181" s="105"/>
      <c r="K181" s="99"/>
      <c r="L181" s="99"/>
      <c r="M181" s="108"/>
      <c r="N181" s="108"/>
      <c r="O181" s="108"/>
      <c r="P181" s="108"/>
      <c r="Q181" s="103"/>
    </row>
    <row r="182" spans="1:17">
      <c r="A182" s="101" t="s">
        <v>592</v>
      </c>
      <c r="B182" s="115" t="s">
        <v>1272</v>
      </c>
      <c r="C182" s="116" t="s">
        <v>155</v>
      </c>
      <c r="D182" s="115" t="s">
        <v>1271</v>
      </c>
      <c r="E182" s="214">
        <v>3338123.26</v>
      </c>
      <c r="F182" s="219">
        <v>50</v>
      </c>
      <c r="G182" s="219">
        <v>1</v>
      </c>
      <c r="J182" s="105"/>
      <c r="K182" s="99"/>
      <c r="L182" s="99"/>
      <c r="M182" s="108"/>
      <c r="N182" s="108"/>
      <c r="O182" s="108"/>
      <c r="P182" s="108"/>
      <c r="Q182" s="103"/>
    </row>
    <row r="183" spans="1:17">
      <c r="A183" s="101" t="s">
        <v>1399</v>
      </c>
      <c r="B183" s="115" t="s">
        <v>1272</v>
      </c>
      <c r="C183" s="116" t="s">
        <v>146</v>
      </c>
      <c r="D183" s="115" t="s">
        <v>1271</v>
      </c>
      <c r="E183" s="214">
        <v>2928062.6500000004</v>
      </c>
      <c r="F183" s="219">
        <v>80</v>
      </c>
      <c r="G183" s="219">
        <v>1</v>
      </c>
      <c r="J183" s="105"/>
      <c r="K183" s="99"/>
      <c r="L183" s="99"/>
      <c r="M183" s="108"/>
      <c r="N183" s="108"/>
      <c r="O183" s="108"/>
      <c r="P183" s="108"/>
      <c r="Q183" s="103"/>
    </row>
    <row r="184" spans="1:17">
      <c r="A184" s="101" t="s">
        <v>594</v>
      </c>
      <c r="B184" s="115" t="s">
        <v>1272</v>
      </c>
      <c r="C184" s="116" t="s">
        <v>177</v>
      </c>
      <c r="D184" s="115" t="s">
        <v>1271</v>
      </c>
      <c r="E184" s="214">
        <v>2265292.83</v>
      </c>
      <c r="F184" s="219">
        <v>50</v>
      </c>
      <c r="G184" s="219">
        <v>1</v>
      </c>
      <c r="J184" s="105"/>
      <c r="K184" s="99"/>
      <c r="L184" s="99"/>
      <c r="M184" s="108"/>
      <c r="N184" s="108"/>
      <c r="O184" s="108"/>
      <c r="P184" s="108"/>
      <c r="Q184" s="103"/>
    </row>
    <row r="185" spans="1:17">
      <c r="A185" s="101" t="s">
        <v>598</v>
      </c>
      <c r="B185" s="115" t="s">
        <v>1272</v>
      </c>
      <c r="C185" s="116" t="s">
        <v>137</v>
      </c>
      <c r="D185" s="115" t="s">
        <v>1271</v>
      </c>
      <c r="E185" s="214">
        <v>2428585.48</v>
      </c>
      <c r="F185" s="219">
        <v>41</v>
      </c>
      <c r="G185" s="219">
        <v>1</v>
      </c>
      <c r="J185" s="105"/>
      <c r="K185" s="99"/>
      <c r="L185" s="99"/>
      <c r="M185" s="108"/>
      <c r="N185" s="108"/>
      <c r="O185" s="108"/>
      <c r="P185" s="108"/>
      <c r="Q185" s="103"/>
    </row>
    <row r="186" spans="1:17">
      <c r="A186" s="101" t="s">
        <v>600</v>
      </c>
      <c r="B186" s="115" t="s">
        <v>1272</v>
      </c>
      <c r="C186" s="116" t="s">
        <v>135</v>
      </c>
      <c r="D186" s="115" t="s">
        <v>1273</v>
      </c>
      <c r="E186" s="214">
        <v>13744227.49</v>
      </c>
      <c r="F186" s="219">
        <v>80</v>
      </c>
      <c r="G186" s="219">
        <v>1</v>
      </c>
      <c r="J186" s="105"/>
      <c r="K186" s="99"/>
      <c r="L186" s="99"/>
      <c r="M186" s="108"/>
      <c r="N186" s="108"/>
      <c r="O186" s="108"/>
      <c r="P186" s="108"/>
      <c r="Q186" s="103"/>
    </row>
    <row r="187" spans="1:17">
      <c r="A187" s="101" t="s">
        <v>602</v>
      </c>
      <c r="B187" s="115" t="s">
        <v>1272</v>
      </c>
      <c r="C187" s="116" t="s">
        <v>144</v>
      </c>
      <c r="D187" s="115" t="s">
        <v>1273</v>
      </c>
      <c r="E187" s="214">
        <v>6695669.8399999999</v>
      </c>
      <c r="F187" s="219">
        <v>70</v>
      </c>
      <c r="G187" s="219">
        <v>1</v>
      </c>
      <c r="J187" s="105"/>
      <c r="K187" s="99"/>
      <c r="L187" s="99"/>
      <c r="M187" s="108"/>
      <c r="N187" s="108"/>
      <c r="O187" s="108"/>
      <c r="P187" s="108"/>
      <c r="Q187" s="103"/>
    </row>
    <row r="188" spans="1:17">
      <c r="A188" s="101" t="s">
        <v>604</v>
      </c>
      <c r="B188" s="115" t="s">
        <v>1272</v>
      </c>
      <c r="C188" s="116" t="s">
        <v>128</v>
      </c>
      <c r="D188" s="115" t="s">
        <v>1271</v>
      </c>
      <c r="E188" s="214">
        <v>15494061.91</v>
      </c>
      <c r="F188" s="219">
        <v>89</v>
      </c>
      <c r="G188" s="219">
        <v>1</v>
      </c>
      <c r="J188" s="105"/>
      <c r="K188" s="99"/>
      <c r="L188" s="99"/>
      <c r="M188" s="108"/>
      <c r="N188" s="108"/>
      <c r="O188" s="108"/>
      <c r="P188" s="108"/>
      <c r="Q188" s="103"/>
    </row>
    <row r="189" spans="1:17">
      <c r="A189" s="101" t="s">
        <v>606</v>
      </c>
      <c r="B189" s="115" t="s">
        <v>1274</v>
      </c>
      <c r="C189" s="116" t="s">
        <v>130</v>
      </c>
      <c r="D189" s="115" t="s">
        <v>1271</v>
      </c>
      <c r="E189" s="214">
        <v>420257.56</v>
      </c>
      <c r="F189" s="219">
        <v>10</v>
      </c>
      <c r="G189" s="219">
        <v>1</v>
      </c>
      <c r="J189" s="105"/>
      <c r="K189" s="99"/>
      <c r="L189" s="99"/>
      <c r="M189" s="108"/>
      <c r="N189" s="108"/>
      <c r="O189" s="108"/>
      <c r="P189" s="108"/>
      <c r="Q189" s="103"/>
    </row>
    <row r="190" spans="1:17">
      <c r="A190" s="101" t="s">
        <v>608</v>
      </c>
      <c r="B190" s="115" t="s">
        <v>1274</v>
      </c>
      <c r="C190" s="116" t="s">
        <v>149</v>
      </c>
      <c r="D190" s="115" t="s">
        <v>1273</v>
      </c>
      <c r="E190" s="214">
        <v>4678180.8499999996</v>
      </c>
      <c r="F190" s="219">
        <v>45</v>
      </c>
      <c r="G190" s="219">
        <v>1</v>
      </c>
      <c r="J190" s="105"/>
      <c r="K190" s="99"/>
      <c r="L190" s="99"/>
      <c r="M190" s="108"/>
      <c r="N190" s="108"/>
      <c r="O190" s="108"/>
      <c r="P190" s="108"/>
      <c r="Q190" s="103"/>
    </row>
    <row r="191" spans="1:17">
      <c r="A191" s="101" t="s">
        <v>610</v>
      </c>
      <c r="B191" s="115" t="s">
        <v>1272</v>
      </c>
      <c r="C191" s="116" t="s">
        <v>175</v>
      </c>
      <c r="D191" s="115" t="s">
        <v>1271</v>
      </c>
      <c r="E191" s="214">
        <v>6050306.5700000003</v>
      </c>
      <c r="F191" s="219">
        <v>91</v>
      </c>
      <c r="G191" s="219">
        <v>1</v>
      </c>
      <c r="J191" s="105"/>
      <c r="K191" s="99"/>
      <c r="L191" s="99"/>
      <c r="M191" s="108"/>
      <c r="N191" s="108"/>
      <c r="O191" s="108"/>
      <c r="P191" s="108"/>
      <c r="Q191" s="103"/>
    </row>
    <row r="192" spans="1:17">
      <c r="A192" s="101" t="s">
        <v>612</v>
      </c>
      <c r="B192" s="115" t="s">
        <v>1272</v>
      </c>
      <c r="C192" s="116" t="s">
        <v>175</v>
      </c>
      <c r="D192" s="115" t="s">
        <v>1271</v>
      </c>
      <c r="E192" s="214">
        <v>4731314.8499999996</v>
      </c>
      <c r="F192" s="219">
        <v>55</v>
      </c>
      <c r="G192" s="219">
        <v>1</v>
      </c>
      <c r="J192" s="105"/>
      <c r="K192" s="99"/>
      <c r="L192" s="99"/>
      <c r="M192" s="108"/>
      <c r="N192" s="108"/>
      <c r="O192" s="108"/>
      <c r="P192" s="108"/>
      <c r="Q192" s="103"/>
    </row>
    <row r="193" spans="1:17">
      <c r="A193" s="101" t="s">
        <v>614</v>
      </c>
      <c r="B193" s="115" t="s">
        <v>1274</v>
      </c>
      <c r="C193" s="116" t="s">
        <v>134</v>
      </c>
      <c r="D193" s="115" t="s">
        <v>1271</v>
      </c>
      <c r="E193" s="214">
        <v>2274952.38</v>
      </c>
      <c r="F193" s="219">
        <v>36</v>
      </c>
      <c r="G193" s="219">
        <v>1</v>
      </c>
      <c r="J193" s="105"/>
      <c r="K193" s="99"/>
      <c r="L193" s="99"/>
      <c r="M193" s="108"/>
      <c r="N193" s="108"/>
      <c r="O193" s="108"/>
      <c r="P193" s="108"/>
      <c r="Q193" s="103"/>
    </row>
    <row r="194" spans="1:17">
      <c r="A194" s="101" t="s">
        <v>616</v>
      </c>
      <c r="B194" s="115" t="s">
        <v>1274</v>
      </c>
      <c r="C194" s="116" t="s">
        <v>134</v>
      </c>
      <c r="D194" s="115" t="s">
        <v>1271</v>
      </c>
      <c r="E194" s="214">
        <v>5680223.3399999999</v>
      </c>
      <c r="F194" s="219">
        <v>82</v>
      </c>
      <c r="G194" s="219">
        <v>1</v>
      </c>
      <c r="J194" s="105"/>
      <c r="K194" s="99"/>
      <c r="L194" s="99"/>
      <c r="M194" s="108"/>
      <c r="N194" s="108"/>
      <c r="O194" s="108"/>
      <c r="P194" s="108"/>
      <c r="Q194" s="103"/>
    </row>
    <row r="195" spans="1:17">
      <c r="A195" s="101" t="s">
        <v>618</v>
      </c>
      <c r="B195" s="115" t="s">
        <v>1272</v>
      </c>
      <c r="C195" s="116" t="s">
        <v>175</v>
      </c>
      <c r="D195" s="115" t="s">
        <v>1273</v>
      </c>
      <c r="E195" s="214">
        <v>9838457.6400000006</v>
      </c>
      <c r="F195" s="219">
        <v>65</v>
      </c>
      <c r="G195" s="219">
        <v>1</v>
      </c>
      <c r="J195" s="105"/>
      <c r="K195" s="99"/>
      <c r="L195" s="99"/>
      <c r="M195" s="108"/>
      <c r="N195" s="108"/>
      <c r="O195" s="108"/>
      <c r="P195" s="108"/>
      <c r="Q195" s="103"/>
    </row>
    <row r="196" spans="1:17">
      <c r="A196" s="101" t="s">
        <v>1276</v>
      </c>
      <c r="B196" s="115" t="s">
        <v>1274</v>
      </c>
      <c r="C196" s="116" t="s">
        <v>139</v>
      </c>
      <c r="D196" s="115" t="s">
        <v>1271</v>
      </c>
      <c r="E196" s="214">
        <v>3974666.36</v>
      </c>
      <c r="F196" s="219">
        <v>42</v>
      </c>
      <c r="G196" s="219">
        <v>1</v>
      </c>
      <c r="J196" s="105"/>
      <c r="K196" s="99"/>
      <c r="L196" s="99"/>
      <c r="M196" s="108"/>
      <c r="N196" s="108"/>
      <c r="O196" s="108"/>
      <c r="P196" s="108"/>
      <c r="Q196" s="103"/>
    </row>
    <row r="197" spans="1:17">
      <c r="A197" s="101" t="s">
        <v>624</v>
      </c>
      <c r="B197" s="115" t="s">
        <v>1272</v>
      </c>
      <c r="C197" s="116" t="s">
        <v>175</v>
      </c>
      <c r="D197" s="115" t="s">
        <v>1271</v>
      </c>
      <c r="E197" s="214">
        <v>6417283.6899999995</v>
      </c>
      <c r="F197" s="219">
        <v>70</v>
      </c>
      <c r="G197" s="219">
        <v>1</v>
      </c>
      <c r="J197" s="105"/>
      <c r="K197" s="99"/>
      <c r="L197" s="99"/>
      <c r="M197" s="108"/>
      <c r="N197" s="108"/>
      <c r="O197" s="108"/>
      <c r="P197" s="108"/>
      <c r="Q197" s="103"/>
    </row>
    <row r="198" spans="1:17">
      <c r="A198" s="101" t="s">
        <v>626</v>
      </c>
      <c r="B198" s="115" t="s">
        <v>1272</v>
      </c>
      <c r="C198" s="116" t="s">
        <v>106</v>
      </c>
      <c r="D198" s="115" t="s">
        <v>1273</v>
      </c>
      <c r="E198" s="214">
        <v>10280411.15</v>
      </c>
      <c r="F198" s="219">
        <v>100</v>
      </c>
      <c r="G198" s="219">
        <v>1</v>
      </c>
      <c r="J198" s="105"/>
      <c r="K198" s="99"/>
      <c r="L198" s="99"/>
      <c r="M198" s="108"/>
      <c r="N198" s="108"/>
      <c r="O198" s="108"/>
      <c r="P198" s="108"/>
      <c r="Q198" s="103"/>
    </row>
    <row r="199" spans="1:17">
      <c r="A199" s="101" t="s">
        <v>628</v>
      </c>
      <c r="B199" s="115" t="s">
        <v>1274</v>
      </c>
      <c r="C199" s="116" t="s">
        <v>129</v>
      </c>
      <c r="D199" s="115" t="s">
        <v>1273</v>
      </c>
      <c r="E199" s="214">
        <v>3952706.67</v>
      </c>
      <c r="F199" s="219">
        <v>47</v>
      </c>
      <c r="G199" s="219">
        <v>1</v>
      </c>
      <c r="J199" s="105"/>
      <c r="K199" s="99"/>
      <c r="L199" s="99"/>
      <c r="M199" s="108"/>
      <c r="N199" s="108"/>
      <c r="O199" s="108"/>
      <c r="P199" s="108"/>
      <c r="Q199" s="103"/>
    </row>
    <row r="200" spans="1:17">
      <c r="A200" s="101" t="s">
        <v>630</v>
      </c>
      <c r="B200" s="115" t="s">
        <v>1272</v>
      </c>
      <c r="C200" s="116" t="s">
        <v>120</v>
      </c>
      <c r="D200" s="115" t="s">
        <v>1273</v>
      </c>
      <c r="E200" s="214">
        <v>6158222.6099999994</v>
      </c>
      <c r="F200" s="219">
        <v>46</v>
      </c>
      <c r="G200" s="219">
        <v>1</v>
      </c>
      <c r="J200" s="105"/>
      <c r="K200" s="99"/>
      <c r="L200" s="99"/>
      <c r="M200" s="108"/>
      <c r="N200" s="108"/>
      <c r="O200" s="108"/>
      <c r="P200" s="108"/>
      <c r="Q200" s="103"/>
    </row>
    <row r="201" spans="1:17">
      <c r="A201" s="101" t="s">
        <v>632</v>
      </c>
      <c r="B201" s="115" t="s">
        <v>1274</v>
      </c>
      <c r="C201" s="116" t="s">
        <v>127</v>
      </c>
      <c r="D201" s="115" t="s">
        <v>1271</v>
      </c>
      <c r="E201" s="214">
        <v>2083856.01</v>
      </c>
      <c r="F201" s="219">
        <v>60</v>
      </c>
      <c r="G201" s="219">
        <v>1</v>
      </c>
      <c r="J201" s="105"/>
      <c r="K201" s="99"/>
      <c r="L201" s="99"/>
      <c r="M201" s="108"/>
      <c r="N201" s="108"/>
      <c r="O201" s="108"/>
      <c r="P201" s="108"/>
      <c r="Q201" s="103"/>
    </row>
    <row r="202" spans="1:17">
      <c r="A202" s="101" t="s">
        <v>634</v>
      </c>
      <c r="B202" s="115" t="s">
        <v>1272</v>
      </c>
      <c r="C202" s="116" t="s">
        <v>122</v>
      </c>
      <c r="D202" s="115" t="s">
        <v>1271</v>
      </c>
      <c r="E202" s="214">
        <v>2206930.67</v>
      </c>
      <c r="F202" s="219">
        <v>29</v>
      </c>
      <c r="G202" s="219">
        <v>1</v>
      </c>
      <c r="J202" s="105"/>
      <c r="K202" s="99"/>
      <c r="L202" s="99"/>
      <c r="M202" s="108"/>
      <c r="N202" s="108"/>
      <c r="O202" s="108"/>
      <c r="P202" s="108"/>
      <c r="Q202" s="103"/>
    </row>
    <row r="203" spans="1:17">
      <c r="A203" s="101" t="s">
        <v>636</v>
      </c>
      <c r="B203" s="115" t="s">
        <v>1272</v>
      </c>
      <c r="C203" s="116" t="s">
        <v>112</v>
      </c>
      <c r="D203" s="115" t="s">
        <v>1273</v>
      </c>
      <c r="E203" s="214">
        <v>19246936.449999999</v>
      </c>
      <c r="F203" s="219">
        <v>86</v>
      </c>
      <c r="G203" s="219">
        <v>1</v>
      </c>
      <c r="J203" s="105"/>
      <c r="K203" s="99"/>
      <c r="L203" s="99"/>
      <c r="M203" s="108"/>
      <c r="N203" s="108"/>
      <c r="O203" s="108"/>
      <c r="P203" s="108"/>
      <c r="Q203" s="103"/>
    </row>
    <row r="204" spans="1:17">
      <c r="A204" s="101" t="s">
        <v>638</v>
      </c>
      <c r="B204" s="115" t="s">
        <v>1272</v>
      </c>
      <c r="C204" s="116" t="s">
        <v>152</v>
      </c>
      <c r="D204" s="115" t="s">
        <v>1271</v>
      </c>
      <c r="E204" s="214">
        <v>2635733.46</v>
      </c>
      <c r="F204" s="219">
        <v>39</v>
      </c>
      <c r="G204" s="219">
        <v>1</v>
      </c>
      <c r="J204" s="105"/>
      <c r="K204" s="99"/>
      <c r="L204" s="99"/>
      <c r="M204" s="108"/>
      <c r="N204" s="108"/>
      <c r="O204" s="108"/>
      <c r="P204" s="108"/>
      <c r="Q204" s="103"/>
    </row>
    <row r="205" spans="1:17">
      <c r="A205" s="101" t="s">
        <v>640</v>
      </c>
      <c r="B205" s="115" t="s">
        <v>1272</v>
      </c>
      <c r="C205" s="116" t="s">
        <v>112</v>
      </c>
      <c r="D205" s="115" t="s">
        <v>1273</v>
      </c>
      <c r="E205" s="214">
        <v>5582784.7199999997</v>
      </c>
      <c r="F205" s="219">
        <v>50</v>
      </c>
      <c r="G205" s="219">
        <v>1</v>
      </c>
      <c r="J205" s="105"/>
      <c r="K205" s="99"/>
      <c r="L205" s="99"/>
      <c r="M205" s="108"/>
      <c r="N205" s="108"/>
      <c r="O205" s="108"/>
      <c r="P205" s="108"/>
      <c r="Q205" s="103"/>
    </row>
    <row r="206" spans="1:17">
      <c r="A206" s="101" t="s">
        <v>642</v>
      </c>
      <c r="B206" s="115" t="s">
        <v>1274</v>
      </c>
      <c r="C206" s="116" t="s">
        <v>28</v>
      </c>
      <c r="D206" s="115" t="s">
        <v>1271</v>
      </c>
      <c r="E206" s="214">
        <v>1942268.8599999999</v>
      </c>
      <c r="F206" s="219">
        <v>45</v>
      </c>
      <c r="G206" s="219">
        <v>1</v>
      </c>
      <c r="J206" s="105"/>
      <c r="K206" s="99"/>
      <c r="L206" s="99"/>
      <c r="M206" s="108"/>
      <c r="N206" s="108"/>
      <c r="O206" s="108"/>
      <c r="P206" s="108"/>
      <c r="Q206" s="103"/>
    </row>
    <row r="207" spans="1:17">
      <c r="A207" s="101" t="s">
        <v>644</v>
      </c>
      <c r="B207" s="115" t="s">
        <v>1272</v>
      </c>
      <c r="C207" s="116" t="s">
        <v>128</v>
      </c>
      <c r="D207" s="115" t="s">
        <v>1273</v>
      </c>
      <c r="E207" s="214">
        <v>18087265.170000002</v>
      </c>
      <c r="F207" s="219">
        <v>89</v>
      </c>
      <c r="G207" s="219">
        <v>1</v>
      </c>
      <c r="J207" s="105"/>
      <c r="K207" s="99"/>
      <c r="L207" s="99"/>
      <c r="M207" s="108"/>
      <c r="N207" s="108"/>
      <c r="O207" s="108"/>
      <c r="P207" s="108"/>
      <c r="Q207" s="103"/>
    </row>
    <row r="208" spans="1:17">
      <c r="A208" s="101" t="s">
        <v>646</v>
      </c>
      <c r="B208" s="115" t="s">
        <v>1274</v>
      </c>
      <c r="C208" s="116" t="s">
        <v>149</v>
      </c>
      <c r="D208" s="115" t="s">
        <v>1271</v>
      </c>
      <c r="E208" s="214">
        <v>5981480.0600000005</v>
      </c>
      <c r="F208" s="219">
        <v>76</v>
      </c>
      <c r="G208" s="219">
        <v>1</v>
      </c>
      <c r="J208" s="105"/>
      <c r="K208" s="99"/>
      <c r="L208" s="99"/>
      <c r="M208" s="108"/>
      <c r="N208" s="108"/>
      <c r="O208" s="108"/>
      <c r="P208" s="108"/>
      <c r="Q208" s="103"/>
    </row>
    <row r="209" spans="1:17">
      <c r="A209" s="101" t="s">
        <v>648</v>
      </c>
      <c r="B209" s="115" t="s">
        <v>1272</v>
      </c>
      <c r="C209" s="116" t="s">
        <v>155</v>
      </c>
      <c r="D209" s="115" t="s">
        <v>1273</v>
      </c>
      <c r="E209" s="214">
        <v>4010883.4799999995</v>
      </c>
      <c r="F209" s="219">
        <v>33</v>
      </c>
      <c r="G209" s="219">
        <v>1</v>
      </c>
      <c r="J209" s="105"/>
      <c r="K209" s="99"/>
      <c r="L209" s="99"/>
      <c r="M209" s="108"/>
      <c r="N209" s="108"/>
      <c r="O209" s="108"/>
      <c r="P209" s="108"/>
      <c r="Q209" s="103"/>
    </row>
    <row r="210" spans="1:17">
      <c r="A210" s="101" t="s">
        <v>650</v>
      </c>
      <c r="B210" s="115" t="s">
        <v>1272</v>
      </c>
      <c r="C210" s="116" t="s">
        <v>155</v>
      </c>
      <c r="D210" s="115" t="s">
        <v>1273</v>
      </c>
      <c r="E210" s="214">
        <v>1805664</v>
      </c>
      <c r="F210" s="219">
        <v>40</v>
      </c>
      <c r="G210" s="219">
        <v>1</v>
      </c>
      <c r="J210" s="105"/>
      <c r="K210" s="99"/>
      <c r="L210" s="99"/>
      <c r="M210" s="108"/>
      <c r="N210" s="108"/>
      <c r="O210" s="108"/>
      <c r="P210" s="108"/>
      <c r="Q210" s="103"/>
    </row>
    <row r="211" spans="1:17">
      <c r="A211" s="101" t="s">
        <v>652</v>
      </c>
      <c r="B211" s="115" t="s">
        <v>1272</v>
      </c>
      <c r="C211" s="116" t="s">
        <v>138</v>
      </c>
      <c r="D211" s="115" t="s">
        <v>1271</v>
      </c>
      <c r="E211" s="214">
        <v>7854545.2699999996</v>
      </c>
      <c r="F211" s="219">
        <v>100</v>
      </c>
      <c r="G211" s="219">
        <v>1</v>
      </c>
      <c r="J211" s="105"/>
      <c r="K211" s="99"/>
      <c r="L211" s="99"/>
      <c r="M211" s="108"/>
      <c r="N211" s="108"/>
      <c r="O211" s="108"/>
      <c r="P211" s="108"/>
      <c r="Q211" s="103"/>
    </row>
    <row r="212" spans="1:17">
      <c r="A212" s="101" t="s">
        <v>654</v>
      </c>
      <c r="B212" s="115" t="s">
        <v>1272</v>
      </c>
      <c r="C212" s="116" t="s">
        <v>138</v>
      </c>
      <c r="D212" s="115" t="s">
        <v>1273</v>
      </c>
      <c r="E212" s="214">
        <v>8346414.2799999993</v>
      </c>
      <c r="F212" s="219">
        <v>73</v>
      </c>
      <c r="G212" s="219">
        <v>1</v>
      </c>
      <c r="J212" s="105"/>
      <c r="K212" s="99"/>
      <c r="L212" s="99"/>
      <c r="M212" s="108"/>
      <c r="N212" s="108"/>
      <c r="O212" s="108"/>
      <c r="P212" s="108"/>
      <c r="Q212" s="103"/>
    </row>
    <row r="213" spans="1:17">
      <c r="A213" s="101" t="s">
        <v>656</v>
      </c>
      <c r="B213" s="115" t="s">
        <v>1272</v>
      </c>
      <c r="C213" s="116" t="s">
        <v>133</v>
      </c>
      <c r="D213" s="115" t="s">
        <v>1271</v>
      </c>
      <c r="E213" s="214">
        <v>3812757.5300000003</v>
      </c>
      <c r="F213" s="219">
        <v>61</v>
      </c>
      <c r="G213" s="219">
        <v>1</v>
      </c>
      <c r="J213" s="105"/>
      <c r="K213" s="99"/>
      <c r="L213" s="99"/>
      <c r="M213" s="108"/>
      <c r="N213" s="108"/>
      <c r="O213" s="108"/>
      <c r="P213" s="108"/>
      <c r="Q213" s="103"/>
    </row>
    <row r="214" spans="1:17">
      <c r="A214" s="101" t="s">
        <v>658</v>
      </c>
      <c r="B214" s="115" t="s">
        <v>1274</v>
      </c>
      <c r="C214" s="116" t="s">
        <v>164</v>
      </c>
      <c r="D214" s="115" t="s">
        <v>1273</v>
      </c>
      <c r="E214" s="214">
        <v>1447447.22</v>
      </c>
      <c r="F214" s="219">
        <v>16</v>
      </c>
      <c r="G214" s="219">
        <v>1</v>
      </c>
      <c r="J214" s="105"/>
      <c r="K214" s="99"/>
      <c r="L214" s="99"/>
      <c r="M214" s="108"/>
      <c r="N214" s="108"/>
      <c r="O214" s="108"/>
      <c r="P214" s="108"/>
      <c r="Q214" s="103"/>
    </row>
    <row r="215" spans="1:17">
      <c r="A215" s="101" t="s">
        <v>660</v>
      </c>
      <c r="B215" s="115" t="s">
        <v>1274</v>
      </c>
      <c r="C215" s="116" t="s">
        <v>114</v>
      </c>
      <c r="D215" s="115" t="s">
        <v>1271</v>
      </c>
      <c r="E215" s="214">
        <v>3167145.8</v>
      </c>
      <c r="F215" s="219">
        <v>53</v>
      </c>
      <c r="G215" s="219">
        <v>1</v>
      </c>
      <c r="J215" s="105"/>
      <c r="K215" s="99"/>
      <c r="L215" s="99"/>
      <c r="M215" s="108"/>
      <c r="N215" s="108"/>
      <c r="O215" s="108"/>
      <c r="P215" s="108"/>
      <c r="Q215" s="103"/>
    </row>
    <row r="216" spans="1:17">
      <c r="A216" s="101" t="s">
        <v>662</v>
      </c>
      <c r="B216" s="115" t="s">
        <v>1274</v>
      </c>
      <c r="C216" s="116" t="s">
        <v>141</v>
      </c>
      <c r="D216" s="115" t="s">
        <v>1271</v>
      </c>
      <c r="E216" s="214">
        <v>1773316.5699999998</v>
      </c>
      <c r="F216" s="219">
        <v>25</v>
      </c>
      <c r="G216" s="219">
        <v>1</v>
      </c>
      <c r="J216" s="105"/>
      <c r="K216" s="99"/>
      <c r="L216" s="99"/>
      <c r="M216" s="108"/>
      <c r="N216" s="108"/>
      <c r="O216" s="108"/>
      <c r="P216" s="108"/>
      <c r="Q216" s="103"/>
    </row>
    <row r="217" spans="1:17">
      <c r="A217" s="101" t="s">
        <v>664</v>
      </c>
      <c r="B217" s="115" t="s">
        <v>1274</v>
      </c>
      <c r="C217" s="116" t="s">
        <v>141</v>
      </c>
      <c r="D217" s="115" t="s">
        <v>1271</v>
      </c>
      <c r="E217" s="214">
        <v>2235501.6900000004</v>
      </c>
      <c r="F217" s="219">
        <v>28</v>
      </c>
      <c r="G217" s="219">
        <v>1</v>
      </c>
      <c r="J217" s="105"/>
      <c r="K217" s="99"/>
      <c r="L217" s="99"/>
      <c r="M217" s="108"/>
      <c r="N217" s="108"/>
      <c r="O217" s="108"/>
      <c r="P217" s="108"/>
      <c r="Q217" s="103"/>
    </row>
    <row r="218" spans="1:17">
      <c r="A218" s="101" t="s">
        <v>668</v>
      </c>
      <c r="B218" s="115" t="s">
        <v>1274</v>
      </c>
      <c r="C218" s="116" t="s">
        <v>121</v>
      </c>
      <c r="D218" s="115" t="s">
        <v>1271</v>
      </c>
      <c r="E218" s="214">
        <v>4639047.25</v>
      </c>
      <c r="F218" s="219">
        <v>63</v>
      </c>
      <c r="G218" s="219">
        <v>1</v>
      </c>
      <c r="J218" s="105"/>
      <c r="K218" s="99"/>
      <c r="L218" s="99"/>
      <c r="M218" s="108"/>
      <c r="N218" s="108"/>
      <c r="O218" s="108"/>
      <c r="P218" s="108"/>
      <c r="Q218" s="103"/>
    </row>
    <row r="219" spans="1:17">
      <c r="A219" s="101" t="s">
        <v>670</v>
      </c>
      <c r="B219" s="115" t="s">
        <v>1274</v>
      </c>
      <c r="C219" s="116" t="s">
        <v>121</v>
      </c>
      <c r="D219" s="115" t="s">
        <v>1271</v>
      </c>
      <c r="E219" s="214">
        <v>1942830.23</v>
      </c>
      <c r="F219" s="219">
        <v>35</v>
      </c>
      <c r="G219" s="219">
        <v>1</v>
      </c>
      <c r="J219" s="105"/>
      <c r="K219" s="99"/>
      <c r="L219" s="99"/>
      <c r="M219" s="108"/>
      <c r="N219" s="108"/>
      <c r="O219" s="108"/>
      <c r="P219" s="108"/>
      <c r="Q219" s="103"/>
    </row>
    <row r="220" spans="1:17">
      <c r="A220" s="101" t="s">
        <v>672</v>
      </c>
      <c r="B220" s="115" t="s">
        <v>1274</v>
      </c>
      <c r="C220" s="116" t="s">
        <v>172</v>
      </c>
      <c r="D220" s="115" t="s">
        <v>1271</v>
      </c>
      <c r="E220" s="214">
        <v>659902.62</v>
      </c>
      <c r="F220" s="219">
        <v>33</v>
      </c>
      <c r="G220" s="219">
        <v>1</v>
      </c>
      <c r="J220" s="105"/>
      <c r="K220" s="99"/>
      <c r="L220" s="99"/>
      <c r="M220" s="108"/>
      <c r="N220" s="108"/>
      <c r="O220" s="108"/>
      <c r="P220" s="108"/>
      <c r="Q220" s="103"/>
    </row>
    <row r="221" spans="1:17">
      <c r="A221" s="101" t="s">
        <v>674</v>
      </c>
      <c r="B221" s="115" t="s">
        <v>1272</v>
      </c>
      <c r="C221" s="116" t="s">
        <v>174</v>
      </c>
      <c r="D221" s="115" t="s">
        <v>1271</v>
      </c>
      <c r="E221" s="214">
        <v>3026840.9299999997</v>
      </c>
      <c r="F221" s="219">
        <v>36</v>
      </c>
      <c r="G221" s="219">
        <v>1</v>
      </c>
      <c r="J221" s="105"/>
      <c r="K221" s="99"/>
      <c r="L221" s="99"/>
      <c r="M221" s="108"/>
      <c r="N221" s="108"/>
      <c r="O221" s="108"/>
      <c r="P221" s="108"/>
      <c r="Q221" s="103"/>
    </row>
    <row r="222" spans="1:17">
      <c r="A222" s="101" t="s">
        <v>676</v>
      </c>
      <c r="B222" s="115" t="s">
        <v>1272</v>
      </c>
      <c r="C222" s="116" t="s">
        <v>122</v>
      </c>
      <c r="D222" s="115" t="s">
        <v>1273</v>
      </c>
      <c r="E222" s="214">
        <v>8590207.4000000004</v>
      </c>
      <c r="F222" s="219">
        <v>62</v>
      </c>
      <c r="G222" s="219">
        <v>1</v>
      </c>
      <c r="J222" s="105"/>
      <c r="K222" s="99"/>
      <c r="L222" s="99"/>
      <c r="M222" s="108"/>
      <c r="N222" s="108"/>
      <c r="O222" s="108"/>
      <c r="P222" s="108"/>
      <c r="Q222" s="103"/>
    </row>
    <row r="223" spans="1:17">
      <c r="A223" s="101" t="s">
        <v>678</v>
      </c>
      <c r="B223" s="115" t="s">
        <v>1274</v>
      </c>
      <c r="C223" s="116" t="s">
        <v>129</v>
      </c>
      <c r="D223" s="115" t="s">
        <v>1273</v>
      </c>
      <c r="E223" s="214">
        <v>2678312.66</v>
      </c>
      <c r="F223" s="219">
        <v>40</v>
      </c>
      <c r="G223" s="219">
        <v>1</v>
      </c>
      <c r="J223" s="105"/>
      <c r="K223" s="99"/>
      <c r="L223" s="99"/>
      <c r="M223" s="108"/>
      <c r="N223" s="108"/>
      <c r="O223" s="108"/>
      <c r="P223" s="108"/>
      <c r="Q223" s="103"/>
    </row>
    <row r="224" spans="1:17">
      <c r="A224" s="101" t="s">
        <v>680</v>
      </c>
      <c r="B224" s="115" t="s">
        <v>1274</v>
      </c>
      <c r="C224" s="116" t="s">
        <v>129</v>
      </c>
      <c r="D224" s="115" t="s">
        <v>1271</v>
      </c>
      <c r="E224" s="214">
        <v>1821250.7</v>
      </c>
      <c r="F224" s="219">
        <v>50</v>
      </c>
      <c r="G224" s="219">
        <v>1</v>
      </c>
      <c r="J224" s="105"/>
      <c r="K224" s="99"/>
      <c r="L224" s="99"/>
      <c r="M224" s="108"/>
      <c r="N224" s="108"/>
      <c r="O224" s="108"/>
      <c r="P224" s="108"/>
      <c r="Q224" s="103"/>
    </row>
    <row r="225" spans="1:17">
      <c r="A225" s="101" t="s">
        <v>684</v>
      </c>
      <c r="B225" s="115" t="s">
        <v>1274</v>
      </c>
      <c r="C225" s="116" t="s">
        <v>164</v>
      </c>
      <c r="D225" s="115" t="s">
        <v>1271</v>
      </c>
      <c r="E225" s="214">
        <v>2776737.48</v>
      </c>
      <c r="F225" s="219">
        <v>44</v>
      </c>
      <c r="G225" s="219">
        <v>1</v>
      </c>
      <c r="J225" s="105"/>
      <c r="K225" s="99"/>
      <c r="L225" s="99"/>
      <c r="M225" s="108"/>
      <c r="N225" s="108"/>
      <c r="O225" s="108"/>
      <c r="P225" s="108"/>
      <c r="Q225" s="103"/>
    </row>
    <row r="226" spans="1:17">
      <c r="A226" s="101" t="s">
        <v>686</v>
      </c>
      <c r="B226" s="115" t="s">
        <v>1274</v>
      </c>
      <c r="C226" s="116" t="s">
        <v>129</v>
      </c>
      <c r="D226" s="115" t="s">
        <v>1271</v>
      </c>
      <c r="E226" s="214">
        <v>3659585.7</v>
      </c>
      <c r="F226" s="219">
        <v>35</v>
      </c>
      <c r="G226" s="219">
        <v>1</v>
      </c>
      <c r="J226" s="105"/>
      <c r="K226" s="99"/>
      <c r="L226" s="99"/>
      <c r="M226" s="108"/>
      <c r="N226" s="108"/>
      <c r="O226" s="108"/>
      <c r="P226" s="108"/>
      <c r="Q226" s="103"/>
    </row>
    <row r="227" spans="1:17">
      <c r="A227" s="101" t="s">
        <v>688</v>
      </c>
      <c r="B227" s="115" t="s">
        <v>1272</v>
      </c>
      <c r="C227" s="116" t="s">
        <v>152</v>
      </c>
      <c r="D227" s="115" t="s">
        <v>1273</v>
      </c>
      <c r="E227" s="214">
        <v>5499318.1099999994</v>
      </c>
      <c r="F227" s="219">
        <v>38</v>
      </c>
      <c r="G227" s="219">
        <v>1</v>
      </c>
      <c r="J227" s="105"/>
      <c r="K227" s="99"/>
      <c r="L227" s="99"/>
      <c r="M227" s="108"/>
      <c r="N227" s="108"/>
      <c r="O227" s="108"/>
      <c r="P227" s="108"/>
      <c r="Q227" s="103"/>
    </row>
    <row r="228" spans="1:17">
      <c r="A228" s="101" t="s">
        <v>694</v>
      </c>
      <c r="B228" s="115" t="s">
        <v>1272</v>
      </c>
      <c r="C228" s="116" t="s">
        <v>137</v>
      </c>
      <c r="D228" s="115" t="s">
        <v>1273</v>
      </c>
      <c r="E228" s="214">
        <v>5009545.3900000006</v>
      </c>
      <c r="F228" s="219">
        <v>49</v>
      </c>
      <c r="G228" s="219">
        <v>1</v>
      </c>
      <c r="J228" s="105"/>
      <c r="K228" s="99"/>
      <c r="L228" s="99"/>
      <c r="M228" s="108"/>
      <c r="N228" s="108"/>
      <c r="O228" s="108"/>
      <c r="P228" s="108"/>
      <c r="Q228" s="103"/>
    </row>
    <row r="229" spans="1:17">
      <c r="A229" s="101" t="s">
        <v>696</v>
      </c>
      <c r="B229" s="115" t="s">
        <v>1274</v>
      </c>
      <c r="C229" s="116" t="s">
        <v>129</v>
      </c>
      <c r="D229" s="115" t="s">
        <v>1273</v>
      </c>
      <c r="E229" s="214">
        <v>6527958.3699999992</v>
      </c>
      <c r="F229" s="219">
        <v>60</v>
      </c>
      <c r="G229" s="219">
        <v>1</v>
      </c>
      <c r="J229" s="105"/>
      <c r="K229" s="99"/>
      <c r="L229" s="99"/>
      <c r="M229" s="108"/>
      <c r="N229" s="108"/>
      <c r="O229" s="108"/>
      <c r="P229" s="108"/>
      <c r="Q229" s="103"/>
    </row>
    <row r="230" spans="1:17">
      <c r="A230" s="101" t="s">
        <v>698</v>
      </c>
      <c r="B230" s="115" t="s">
        <v>1274</v>
      </c>
      <c r="C230" s="116" t="s">
        <v>168</v>
      </c>
      <c r="D230" s="115" t="s">
        <v>1273</v>
      </c>
      <c r="E230" s="214">
        <v>477981.45</v>
      </c>
      <c r="F230" s="219">
        <v>10</v>
      </c>
      <c r="G230" s="219">
        <v>1</v>
      </c>
      <c r="J230" s="105"/>
      <c r="K230" s="99"/>
      <c r="L230" s="99"/>
      <c r="M230" s="108"/>
      <c r="N230" s="108"/>
      <c r="O230" s="108"/>
      <c r="P230" s="108"/>
      <c r="Q230" s="103"/>
    </row>
    <row r="231" spans="1:17">
      <c r="A231" s="101" t="s">
        <v>700</v>
      </c>
      <c r="B231" s="115" t="s">
        <v>1272</v>
      </c>
      <c r="C231" s="116" t="s">
        <v>106</v>
      </c>
      <c r="D231" s="115" t="s">
        <v>1273</v>
      </c>
      <c r="E231" s="214">
        <v>9539192.6400000006</v>
      </c>
      <c r="F231" s="219">
        <v>85</v>
      </c>
      <c r="G231" s="219">
        <v>1</v>
      </c>
      <c r="J231" s="105"/>
      <c r="K231" s="99"/>
      <c r="L231" s="99"/>
      <c r="M231" s="108"/>
      <c r="N231" s="108"/>
      <c r="O231" s="108"/>
      <c r="P231" s="108"/>
      <c r="Q231" s="103"/>
    </row>
    <row r="232" spans="1:17">
      <c r="A232" s="101" t="s">
        <v>702</v>
      </c>
      <c r="B232" s="115" t="s">
        <v>1272</v>
      </c>
      <c r="C232" s="116" t="s">
        <v>116</v>
      </c>
      <c r="D232" s="115" t="s">
        <v>1273</v>
      </c>
      <c r="E232" s="214">
        <v>8984342.4399999995</v>
      </c>
      <c r="F232" s="219">
        <v>55</v>
      </c>
      <c r="G232" s="219">
        <v>1</v>
      </c>
      <c r="J232" s="105"/>
      <c r="K232" s="99"/>
      <c r="L232" s="99"/>
      <c r="M232" s="108"/>
      <c r="N232" s="108"/>
      <c r="O232" s="108"/>
      <c r="P232" s="108"/>
      <c r="Q232" s="103"/>
    </row>
    <row r="233" spans="1:17">
      <c r="A233" s="101" t="s">
        <v>706</v>
      </c>
      <c r="B233" s="115" t="s">
        <v>1272</v>
      </c>
      <c r="C233" s="116" t="s">
        <v>147</v>
      </c>
      <c r="D233" s="115" t="s">
        <v>1273</v>
      </c>
      <c r="E233" s="214">
        <v>12219826.52</v>
      </c>
      <c r="F233" s="219">
        <v>82</v>
      </c>
      <c r="G233" s="219">
        <v>1</v>
      </c>
      <c r="J233" s="105"/>
      <c r="K233" s="99"/>
      <c r="L233" s="99"/>
      <c r="M233" s="108"/>
      <c r="N233" s="108"/>
      <c r="O233" s="108"/>
      <c r="P233" s="108"/>
      <c r="Q233" s="103"/>
    </row>
    <row r="234" spans="1:17">
      <c r="A234" s="101" t="s">
        <v>708</v>
      </c>
      <c r="B234" s="115" t="s">
        <v>1274</v>
      </c>
      <c r="C234" s="116" t="s">
        <v>179</v>
      </c>
      <c r="D234" s="115" t="s">
        <v>1273</v>
      </c>
      <c r="E234" s="214">
        <v>3884288.19</v>
      </c>
      <c r="F234" s="219">
        <v>31</v>
      </c>
      <c r="G234" s="219">
        <v>1</v>
      </c>
      <c r="J234" s="105"/>
      <c r="K234" s="99"/>
      <c r="L234" s="99"/>
      <c r="M234" s="108"/>
      <c r="N234" s="108"/>
      <c r="O234" s="108"/>
      <c r="P234" s="108"/>
      <c r="Q234" s="103"/>
    </row>
    <row r="235" spans="1:17">
      <c r="A235" s="101" t="s">
        <v>710</v>
      </c>
      <c r="B235" s="115" t="s">
        <v>1274</v>
      </c>
      <c r="C235" s="116" t="s">
        <v>172</v>
      </c>
      <c r="D235" s="115" t="s">
        <v>1271</v>
      </c>
      <c r="E235" s="214">
        <v>3037418.5300000003</v>
      </c>
      <c r="F235" s="219">
        <v>35</v>
      </c>
      <c r="G235" s="219">
        <v>1</v>
      </c>
      <c r="J235" s="105"/>
      <c r="K235" s="99"/>
      <c r="L235" s="99"/>
      <c r="M235" s="108"/>
      <c r="N235" s="108"/>
      <c r="O235" s="108"/>
      <c r="P235" s="108"/>
      <c r="Q235" s="103"/>
    </row>
    <row r="236" spans="1:17">
      <c r="A236" s="101" t="s">
        <v>712</v>
      </c>
      <c r="B236" s="115" t="s">
        <v>1274</v>
      </c>
      <c r="C236" s="116" t="s">
        <v>149</v>
      </c>
      <c r="D236" s="115" t="s">
        <v>1273</v>
      </c>
      <c r="E236" s="214">
        <v>889451.92999999993</v>
      </c>
      <c r="F236" s="219">
        <v>0</v>
      </c>
      <c r="G236" s="219">
        <v>1</v>
      </c>
      <c r="J236" s="105"/>
      <c r="K236" s="99"/>
      <c r="L236" s="99"/>
      <c r="M236" s="108"/>
      <c r="N236" s="108"/>
      <c r="O236" s="108"/>
      <c r="P236" s="108"/>
      <c r="Q236" s="103"/>
    </row>
    <row r="237" spans="1:17">
      <c r="A237" s="101" t="s">
        <v>714</v>
      </c>
      <c r="B237" s="115" t="s">
        <v>1272</v>
      </c>
      <c r="C237" s="116" t="s">
        <v>146</v>
      </c>
      <c r="D237" s="115" t="s">
        <v>1273</v>
      </c>
      <c r="E237" s="214">
        <v>9926363.3999999985</v>
      </c>
      <c r="F237" s="219">
        <v>80</v>
      </c>
      <c r="G237" s="219">
        <v>1</v>
      </c>
      <c r="J237" s="105"/>
      <c r="K237" s="99"/>
      <c r="L237" s="99"/>
      <c r="M237" s="108"/>
      <c r="N237" s="108"/>
      <c r="O237" s="108"/>
      <c r="P237" s="108"/>
      <c r="Q237" s="103"/>
    </row>
    <row r="238" spans="1:17">
      <c r="A238" s="101" t="s">
        <v>716</v>
      </c>
      <c r="B238" s="115" t="s">
        <v>1272</v>
      </c>
      <c r="C238" s="116" t="s">
        <v>166</v>
      </c>
      <c r="D238" s="115" t="s">
        <v>1273</v>
      </c>
      <c r="E238" s="214">
        <v>3337550.6100000003</v>
      </c>
      <c r="F238" s="219">
        <v>30</v>
      </c>
      <c r="G238" s="219">
        <v>1</v>
      </c>
      <c r="J238" s="105"/>
      <c r="K238" s="99"/>
      <c r="L238" s="99"/>
      <c r="M238" s="108"/>
      <c r="N238" s="108"/>
      <c r="O238" s="108"/>
      <c r="P238" s="108"/>
      <c r="Q238" s="103"/>
    </row>
    <row r="239" spans="1:17">
      <c r="A239" s="101" t="s">
        <v>718</v>
      </c>
      <c r="B239" s="115" t="s">
        <v>1272</v>
      </c>
      <c r="C239" s="116" t="s">
        <v>145</v>
      </c>
      <c r="D239" s="115" t="s">
        <v>1273</v>
      </c>
      <c r="E239" s="214">
        <v>7953247.9499999993</v>
      </c>
      <c r="F239" s="219">
        <v>72</v>
      </c>
      <c r="G239" s="219">
        <v>1</v>
      </c>
      <c r="J239" s="105"/>
      <c r="K239" s="99"/>
      <c r="L239" s="99"/>
      <c r="M239" s="108"/>
      <c r="N239" s="108"/>
      <c r="O239" s="108"/>
      <c r="P239" s="108"/>
      <c r="Q239" s="103"/>
    </row>
    <row r="240" spans="1:17">
      <c r="A240" s="101" t="s">
        <v>720</v>
      </c>
      <c r="B240" s="115" t="s">
        <v>1272</v>
      </c>
      <c r="C240" s="116" t="s">
        <v>142</v>
      </c>
      <c r="D240" s="115" t="s">
        <v>1271</v>
      </c>
      <c r="E240" s="214">
        <v>3968025.29</v>
      </c>
      <c r="F240" s="219">
        <v>90</v>
      </c>
      <c r="G240" s="219">
        <v>1</v>
      </c>
      <c r="J240" s="105"/>
      <c r="K240" s="99"/>
      <c r="L240" s="99"/>
      <c r="M240" s="108"/>
      <c r="N240" s="108"/>
      <c r="O240" s="108"/>
      <c r="P240" s="108"/>
      <c r="Q240" s="103"/>
    </row>
    <row r="241" spans="1:17">
      <c r="A241" s="101" t="s">
        <v>722</v>
      </c>
      <c r="B241" s="115" t="s">
        <v>1274</v>
      </c>
      <c r="C241" s="116" t="s">
        <v>30</v>
      </c>
      <c r="D241" s="115" t="s">
        <v>1271</v>
      </c>
      <c r="E241" s="214">
        <v>1533604.16</v>
      </c>
      <c r="F241" s="219">
        <v>40</v>
      </c>
      <c r="G241" s="219">
        <v>1</v>
      </c>
      <c r="J241" s="105"/>
      <c r="K241" s="99"/>
      <c r="L241" s="99"/>
      <c r="M241" s="108"/>
      <c r="N241" s="108"/>
      <c r="O241" s="108"/>
      <c r="P241" s="108"/>
      <c r="Q241" s="103"/>
    </row>
    <row r="242" spans="1:17">
      <c r="A242" s="101" t="s">
        <v>724</v>
      </c>
      <c r="B242" s="115" t="s">
        <v>1272</v>
      </c>
      <c r="C242" s="116" t="s">
        <v>109</v>
      </c>
      <c r="D242" s="115" t="s">
        <v>1273</v>
      </c>
      <c r="E242" s="214">
        <v>2734254.67</v>
      </c>
      <c r="F242" s="219">
        <v>40</v>
      </c>
      <c r="G242" s="219">
        <v>1</v>
      </c>
      <c r="J242" s="105"/>
      <c r="K242" s="99"/>
      <c r="L242" s="99"/>
      <c r="M242" s="108"/>
      <c r="N242" s="108"/>
      <c r="O242" s="108"/>
      <c r="P242" s="108"/>
      <c r="Q242" s="103"/>
    </row>
    <row r="243" spans="1:17">
      <c r="A243" s="101" t="s">
        <v>726</v>
      </c>
      <c r="B243" s="115" t="s">
        <v>1272</v>
      </c>
      <c r="C243" s="116" t="s">
        <v>145</v>
      </c>
      <c r="D243" s="115" t="s">
        <v>1271</v>
      </c>
      <c r="E243" s="214">
        <v>1616644.27</v>
      </c>
      <c r="F243" s="219">
        <v>44</v>
      </c>
      <c r="G243" s="219">
        <v>1</v>
      </c>
      <c r="J243" s="105"/>
      <c r="K243" s="99"/>
      <c r="L243" s="99"/>
      <c r="M243" s="108"/>
      <c r="N243" s="108"/>
      <c r="O243" s="108"/>
      <c r="P243" s="108"/>
      <c r="Q243" s="103"/>
    </row>
    <row r="244" spans="1:17">
      <c r="A244" s="101" t="s">
        <v>728</v>
      </c>
      <c r="B244" s="115" t="s">
        <v>1274</v>
      </c>
      <c r="C244" s="116" t="s">
        <v>26</v>
      </c>
      <c r="D244" s="115" t="s">
        <v>1271</v>
      </c>
      <c r="E244" s="214">
        <v>2075952.71</v>
      </c>
      <c r="F244" s="219">
        <v>40</v>
      </c>
      <c r="G244" s="219">
        <v>1</v>
      </c>
      <c r="J244" s="105"/>
      <c r="K244" s="99"/>
      <c r="L244" s="99"/>
      <c r="M244" s="108"/>
      <c r="N244" s="108"/>
      <c r="O244" s="108"/>
      <c r="P244" s="108"/>
      <c r="Q244" s="103"/>
    </row>
    <row r="245" spans="1:17">
      <c r="A245" s="101" t="s">
        <v>730</v>
      </c>
      <c r="B245" s="115" t="s">
        <v>1274</v>
      </c>
      <c r="C245" s="116" t="s">
        <v>26</v>
      </c>
      <c r="D245" s="115" t="s">
        <v>1271</v>
      </c>
      <c r="E245" s="214">
        <v>5381681.5800000001</v>
      </c>
      <c r="F245" s="219">
        <v>59</v>
      </c>
      <c r="G245" s="219">
        <v>1</v>
      </c>
      <c r="J245" s="105"/>
      <c r="K245" s="99"/>
      <c r="L245" s="99"/>
      <c r="M245" s="108"/>
      <c r="N245" s="108"/>
      <c r="O245" s="108"/>
      <c r="P245" s="108"/>
      <c r="Q245" s="103"/>
    </row>
    <row r="246" spans="1:17">
      <c r="A246" s="101" t="s">
        <v>732</v>
      </c>
      <c r="B246" s="115" t="s">
        <v>1272</v>
      </c>
      <c r="C246" s="116" t="s">
        <v>151</v>
      </c>
      <c r="D246" s="115" t="s">
        <v>1273</v>
      </c>
      <c r="E246" s="214">
        <v>10249884.199999999</v>
      </c>
      <c r="F246" s="219">
        <v>75</v>
      </c>
      <c r="G246" s="219">
        <v>1</v>
      </c>
      <c r="J246" s="105"/>
      <c r="K246" s="99"/>
      <c r="L246" s="99"/>
      <c r="M246" s="108"/>
      <c r="N246" s="108"/>
      <c r="O246" s="108"/>
      <c r="P246" s="108"/>
      <c r="Q246" s="103"/>
    </row>
    <row r="247" spans="1:17">
      <c r="A247" s="101" t="s">
        <v>734</v>
      </c>
      <c r="B247" s="115" t="s">
        <v>1274</v>
      </c>
      <c r="C247" s="116" t="s">
        <v>164</v>
      </c>
      <c r="D247" s="115" t="s">
        <v>1273</v>
      </c>
      <c r="E247" s="214">
        <v>1478180.55</v>
      </c>
      <c r="F247" s="219">
        <v>20</v>
      </c>
      <c r="G247" s="219">
        <v>1</v>
      </c>
      <c r="J247" s="105"/>
      <c r="K247" s="99"/>
      <c r="L247" s="99"/>
      <c r="M247" s="108"/>
      <c r="N247" s="108"/>
      <c r="O247" s="108"/>
      <c r="P247" s="108"/>
      <c r="Q247" s="103"/>
    </row>
    <row r="248" spans="1:17">
      <c r="A248" s="101" t="s">
        <v>736</v>
      </c>
      <c r="B248" s="115" t="s">
        <v>1272</v>
      </c>
      <c r="C248" s="116" t="s">
        <v>124</v>
      </c>
      <c r="D248" s="115" t="s">
        <v>1273</v>
      </c>
      <c r="E248" s="214">
        <v>2812823.8</v>
      </c>
      <c r="F248" s="219">
        <v>45</v>
      </c>
      <c r="G248" s="219">
        <v>1</v>
      </c>
      <c r="J248" s="105"/>
      <c r="K248" s="99"/>
      <c r="L248" s="99"/>
      <c r="M248" s="108"/>
      <c r="N248" s="108"/>
      <c r="O248" s="108"/>
      <c r="P248" s="108"/>
      <c r="Q248" s="103"/>
    </row>
    <row r="249" spans="1:17">
      <c r="A249" s="101" t="s">
        <v>738</v>
      </c>
      <c r="B249" s="115" t="s">
        <v>1272</v>
      </c>
      <c r="C249" s="116" t="s">
        <v>135</v>
      </c>
      <c r="D249" s="115" t="s">
        <v>1273</v>
      </c>
      <c r="E249" s="214">
        <v>10901988.739999998</v>
      </c>
      <c r="F249" s="219">
        <v>70</v>
      </c>
      <c r="G249" s="219">
        <v>1</v>
      </c>
      <c r="J249" s="105"/>
      <c r="K249" s="99"/>
      <c r="L249" s="99"/>
      <c r="M249" s="108"/>
      <c r="N249" s="108"/>
      <c r="O249" s="108"/>
      <c r="P249" s="108"/>
      <c r="Q249" s="103"/>
    </row>
    <row r="250" spans="1:17">
      <c r="A250" s="101" t="s">
        <v>740</v>
      </c>
      <c r="B250" s="115" t="s">
        <v>1272</v>
      </c>
      <c r="C250" s="116" t="s">
        <v>147</v>
      </c>
      <c r="D250" s="115" t="s">
        <v>1271</v>
      </c>
      <c r="E250" s="214">
        <v>5874897.5800000001</v>
      </c>
      <c r="F250" s="219">
        <v>90</v>
      </c>
      <c r="G250" s="219">
        <v>1</v>
      </c>
      <c r="J250" s="105"/>
      <c r="K250" s="99"/>
      <c r="L250" s="99"/>
      <c r="M250" s="108"/>
      <c r="N250" s="108"/>
      <c r="O250" s="108"/>
      <c r="P250" s="108"/>
      <c r="Q250" s="103"/>
    </row>
    <row r="251" spans="1:17">
      <c r="A251" s="101" t="s">
        <v>742</v>
      </c>
      <c r="B251" s="115" t="s">
        <v>1272</v>
      </c>
      <c r="C251" s="116" t="s">
        <v>137</v>
      </c>
      <c r="D251" s="115" t="s">
        <v>1271</v>
      </c>
      <c r="E251" s="214">
        <v>757624.77</v>
      </c>
      <c r="F251" s="219">
        <v>25</v>
      </c>
      <c r="G251" s="219">
        <v>1</v>
      </c>
      <c r="J251" s="105"/>
      <c r="K251" s="99"/>
      <c r="L251" s="99"/>
      <c r="M251" s="108"/>
      <c r="N251" s="108"/>
      <c r="O251" s="108"/>
      <c r="P251" s="108"/>
      <c r="Q251" s="103"/>
    </row>
    <row r="252" spans="1:17">
      <c r="A252" s="101" t="s">
        <v>744</v>
      </c>
      <c r="B252" s="115" t="s">
        <v>1274</v>
      </c>
      <c r="C252" s="116" t="s">
        <v>148</v>
      </c>
      <c r="D252" s="115" t="s">
        <v>1271</v>
      </c>
      <c r="E252" s="214">
        <v>1117079.6499999999</v>
      </c>
      <c r="F252" s="219">
        <v>20</v>
      </c>
      <c r="G252" s="219">
        <v>1</v>
      </c>
      <c r="J252" s="105"/>
      <c r="K252" s="99"/>
      <c r="L252" s="99"/>
      <c r="M252" s="108"/>
      <c r="N252" s="108"/>
      <c r="O252" s="108"/>
      <c r="P252" s="108"/>
      <c r="Q252" s="103"/>
    </row>
    <row r="253" spans="1:17">
      <c r="A253" s="101" t="s">
        <v>746</v>
      </c>
      <c r="B253" s="115" t="s">
        <v>1272</v>
      </c>
      <c r="C253" s="116" t="s">
        <v>146</v>
      </c>
      <c r="D253" s="115" t="s">
        <v>1273</v>
      </c>
      <c r="E253" s="214">
        <v>14165789.08</v>
      </c>
      <c r="F253" s="219">
        <v>90</v>
      </c>
      <c r="G253" s="219">
        <v>1</v>
      </c>
      <c r="J253" s="105"/>
      <c r="K253" s="99"/>
      <c r="L253" s="99"/>
      <c r="M253" s="108"/>
      <c r="N253" s="108"/>
      <c r="O253" s="108"/>
      <c r="P253" s="108"/>
      <c r="Q253" s="103"/>
    </row>
    <row r="254" spans="1:17">
      <c r="A254" s="101" t="s">
        <v>748</v>
      </c>
      <c r="B254" s="115" t="s">
        <v>1274</v>
      </c>
      <c r="C254" s="116" t="s">
        <v>105</v>
      </c>
      <c r="D254" s="115" t="s">
        <v>1271</v>
      </c>
      <c r="E254" s="214">
        <v>1264453.54</v>
      </c>
      <c r="F254" s="219">
        <v>32</v>
      </c>
      <c r="G254" s="219">
        <v>1</v>
      </c>
      <c r="J254" s="105"/>
      <c r="K254" s="99"/>
      <c r="L254" s="99"/>
      <c r="M254" s="108"/>
      <c r="N254" s="108"/>
      <c r="O254" s="108"/>
      <c r="P254" s="108"/>
      <c r="Q254" s="103"/>
    </row>
    <row r="255" spans="1:17">
      <c r="A255" s="101" t="s">
        <v>750</v>
      </c>
      <c r="B255" s="115" t="s">
        <v>1272</v>
      </c>
      <c r="C255" s="116" t="s">
        <v>109</v>
      </c>
      <c r="D255" s="115" t="s">
        <v>1273</v>
      </c>
      <c r="E255" s="214">
        <v>3693499.59</v>
      </c>
      <c r="F255" s="219">
        <v>48</v>
      </c>
      <c r="G255" s="219">
        <v>1</v>
      </c>
      <c r="J255" s="105"/>
      <c r="K255" s="99"/>
      <c r="L255" s="99"/>
      <c r="M255" s="108"/>
      <c r="N255" s="108"/>
      <c r="O255" s="108"/>
      <c r="P255" s="108"/>
      <c r="Q255" s="103"/>
    </row>
    <row r="256" spans="1:17">
      <c r="A256" s="101" t="s">
        <v>752</v>
      </c>
      <c r="B256" s="115" t="s">
        <v>1274</v>
      </c>
      <c r="C256" s="116" t="s">
        <v>148</v>
      </c>
      <c r="D256" s="115" t="s">
        <v>1273</v>
      </c>
      <c r="E256" s="214">
        <v>12245961.48</v>
      </c>
      <c r="F256" s="219">
        <v>75</v>
      </c>
      <c r="G256" s="219">
        <v>1</v>
      </c>
      <c r="J256" s="105"/>
      <c r="K256" s="99"/>
      <c r="L256" s="99"/>
      <c r="M256" s="108"/>
      <c r="N256" s="108"/>
      <c r="O256" s="108"/>
      <c r="P256" s="108"/>
      <c r="Q256" s="103"/>
    </row>
    <row r="257" spans="1:17">
      <c r="A257" s="101" t="s">
        <v>754</v>
      </c>
      <c r="B257" s="115" t="s">
        <v>1274</v>
      </c>
      <c r="C257" s="116" t="s">
        <v>148</v>
      </c>
      <c r="D257" s="115" t="s">
        <v>1271</v>
      </c>
      <c r="E257" s="214">
        <v>550168.74</v>
      </c>
      <c r="F257" s="219">
        <v>20</v>
      </c>
      <c r="G257" s="219">
        <v>1</v>
      </c>
      <c r="J257" s="105"/>
      <c r="K257" s="99"/>
      <c r="L257" s="99"/>
      <c r="M257" s="108"/>
      <c r="N257" s="108"/>
      <c r="O257" s="108"/>
      <c r="P257" s="108"/>
      <c r="Q257" s="103"/>
    </row>
    <row r="258" spans="1:17">
      <c r="A258" s="101" t="s">
        <v>758</v>
      </c>
      <c r="B258" s="115" t="s">
        <v>1274</v>
      </c>
      <c r="C258" s="116" t="s">
        <v>148</v>
      </c>
      <c r="D258" s="115" t="s">
        <v>1271</v>
      </c>
      <c r="E258" s="214">
        <v>4420807.62</v>
      </c>
      <c r="F258" s="219">
        <v>45</v>
      </c>
      <c r="G258" s="219">
        <v>1</v>
      </c>
      <c r="J258" s="105"/>
      <c r="K258" s="99"/>
      <c r="L258" s="99"/>
      <c r="M258" s="108"/>
      <c r="N258" s="108"/>
      <c r="O258" s="108"/>
      <c r="P258" s="108"/>
      <c r="Q258" s="103"/>
    </row>
    <row r="259" spans="1:17">
      <c r="A259" s="101" t="s">
        <v>1302</v>
      </c>
      <c r="B259" s="115" t="s">
        <v>1274</v>
      </c>
      <c r="C259" s="116" t="s">
        <v>148</v>
      </c>
      <c r="D259" s="115" t="s">
        <v>1271</v>
      </c>
      <c r="E259" s="214">
        <v>7234773.1899999995</v>
      </c>
      <c r="F259" s="219">
        <v>67</v>
      </c>
      <c r="G259" s="219">
        <v>1</v>
      </c>
      <c r="J259" s="105"/>
      <c r="K259" s="99"/>
      <c r="L259" s="99"/>
      <c r="M259" s="108"/>
      <c r="N259" s="108"/>
      <c r="O259" s="108"/>
      <c r="P259" s="108"/>
      <c r="Q259" s="103"/>
    </row>
    <row r="260" spans="1:17">
      <c r="A260" s="101" t="s">
        <v>762</v>
      </c>
      <c r="B260" s="115" t="s">
        <v>1272</v>
      </c>
      <c r="C260" s="116" t="s">
        <v>133</v>
      </c>
      <c r="D260" s="115" t="s">
        <v>1273</v>
      </c>
      <c r="E260" s="214">
        <v>13225197.57</v>
      </c>
      <c r="F260" s="219">
        <v>70</v>
      </c>
      <c r="G260" s="219">
        <v>1</v>
      </c>
      <c r="J260" s="105"/>
      <c r="K260" s="99"/>
      <c r="L260" s="99"/>
      <c r="M260" s="108"/>
      <c r="N260" s="108"/>
      <c r="O260" s="108"/>
      <c r="P260" s="108"/>
      <c r="Q260" s="103"/>
    </row>
    <row r="261" spans="1:17">
      <c r="A261" s="101" t="s">
        <v>764</v>
      </c>
      <c r="B261" s="115" t="s">
        <v>1272</v>
      </c>
      <c r="C261" s="116" t="s">
        <v>38</v>
      </c>
      <c r="D261" s="115" t="s">
        <v>1273</v>
      </c>
      <c r="E261" s="214">
        <v>7057693.2000000002</v>
      </c>
      <c r="F261" s="219">
        <v>60</v>
      </c>
      <c r="G261" s="219">
        <v>1</v>
      </c>
      <c r="J261" s="105"/>
      <c r="K261" s="99"/>
      <c r="L261" s="99"/>
      <c r="M261" s="108"/>
      <c r="N261" s="108"/>
      <c r="O261" s="108"/>
      <c r="P261" s="108"/>
      <c r="Q261" s="103"/>
    </row>
    <row r="262" spans="1:17">
      <c r="A262" s="101" t="s">
        <v>768</v>
      </c>
      <c r="B262" s="115" t="s">
        <v>1274</v>
      </c>
      <c r="C262" s="116" t="s">
        <v>121</v>
      </c>
      <c r="D262" s="115" t="s">
        <v>1273</v>
      </c>
      <c r="E262" s="214">
        <v>1557429.58</v>
      </c>
      <c r="F262" s="219">
        <v>16</v>
      </c>
      <c r="G262" s="219">
        <v>1</v>
      </c>
      <c r="J262" s="105"/>
      <c r="K262" s="99"/>
      <c r="L262" s="99"/>
      <c r="M262" s="108"/>
      <c r="N262" s="108"/>
      <c r="O262" s="108"/>
      <c r="P262" s="108"/>
      <c r="Q262" s="103"/>
    </row>
    <row r="263" spans="1:17">
      <c r="A263" s="101" t="s">
        <v>770</v>
      </c>
      <c r="B263" s="115" t="s">
        <v>1274</v>
      </c>
      <c r="C263" s="116" t="s">
        <v>139</v>
      </c>
      <c r="D263" s="115" t="s">
        <v>1273</v>
      </c>
      <c r="E263" s="214">
        <v>1440136.48</v>
      </c>
      <c r="F263" s="219">
        <v>22</v>
      </c>
      <c r="G263" s="219">
        <v>1</v>
      </c>
      <c r="J263" s="105"/>
      <c r="K263" s="99"/>
      <c r="L263" s="99"/>
      <c r="M263" s="108"/>
      <c r="N263" s="108"/>
      <c r="O263" s="108"/>
      <c r="P263" s="108"/>
      <c r="Q263" s="103"/>
    </row>
    <row r="264" spans="1:17">
      <c r="A264" s="101" t="s">
        <v>772</v>
      </c>
      <c r="B264" s="115" t="s">
        <v>1274</v>
      </c>
      <c r="C264" s="116" t="s">
        <v>139</v>
      </c>
      <c r="D264" s="115" t="s">
        <v>1271</v>
      </c>
      <c r="E264" s="214">
        <v>6800178.8599999994</v>
      </c>
      <c r="F264" s="219">
        <v>75</v>
      </c>
      <c r="G264" s="219">
        <v>1</v>
      </c>
      <c r="J264" s="105"/>
      <c r="K264" s="99"/>
      <c r="L264" s="99"/>
      <c r="M264" s="108"/>
      <c r="N264" s="108"/>
      <c r="O264" s="108"/>
      <c r="P264" s="108"/>
      <c r="Q264" s="103"/>
    </row>
    <row r="265" spans="1:17">
      <c r="A265" s="101" t="s">
        <v>774</v>
      </c>
      <c r="B265" s="115" t="s">
        <v>1274</v>
      </c>
      <c r="C265" s="116" t="s">
        <v>139</v>
      </c>
      <c r="D265" s="115" t="s">
        <v>1271</v>
      </c>
      <c r="E265" s="214">
        <v>3722732.41</v>
      </c>
      <c r="F265" s="219">
        <v>45</v>
      </c>
      <c r="G265" s="219">
        <v>1</v>
      </c>
      <c r="J265" s="105"/>
      <c r="K265" s="99"/>
      <c r="L265" s="99"/>
      <c r="M265" s="108"/>
      <c r="N265" s="108"/>
      <c r="O265" s="108"/>
      <c r="P265" s="108"/>
      <c r="Q265" s="103"/>
    </row>
    <row r="266" spans="1:17">
      <c r="A266" s="101" t="s">
        <v>776</v>
      </c>
      <c r="B266" s="115" t="s">
        <v>1272</v>
      </c>
      <c r="C266" s="116" t="s">
        <v>151</v>
      </c>
      <c r="D266" s="115" t="s">
        <v>1273</v>
      </c>
      <c r="E266" s="214">
        <v>5807484.5600000005</v>
      </c>
      <c r="F266" s="219">
        <v>44</v>
      </c>
      <c r="G266" s="219">
        <v>1</v>
      </c>
      <c r="J266" s="105"/>
      <c r="K266" s="99"/>
      <c r="L266" s="99"/>
      <c r="M266" s="108"/>
      <c r="N266" s="108"/>
      <c r="O266" s="108"/>
      <c r="P266" s="108"/>
      <c r="Q266" s="103"/>
    </row>
    <row r="267" spans="1:17">
      <c r="A267" s="101" t="s">
        <v>778</v>
      </c>
      <c r="B267" s="115" t="s">
        <v>1272</v>
      </c>
      <c r="C267" s="116" t="s">
        <v>177</v>
      </c>
      <c r="D267" s="115" t="s">
        <v>1271</v>
      </c>
      <c r="E267" s="214">
        <v>1668212.18</v>
      </c>
      <c r="F267" s="219">
        <v>30</v>
      </c>
      <c r="G267" s="219">
        <v>1</v>
      </c>
      <c r="J267" s="105"/>
      <c r="K267" s="99"/>
      <c r="L267" s="99"/>
      <c r="M267" s="108"/>
      <c r="N267" s="108"/>
      <c r="O267" s="108"/>
      <c r="P267" s="108"/>
      <c r="Q267" s="103"/>
    </row>
    <row r="268" spans="1:17">
      <c r="A268" s="101" t="s">
        <v>780</v>
      </c>
      <c r="B268" s="115" t="s">
        <v>1272</v>
      </c>
      <c r="C268" s="116" t="s">
        <v>106</v>
      </c>
      <c r="D268" s="115" t="s">
        <v>1271</v>
      </c>
      <c r="E268" s="214">
        <v>1812709.97</v>
      </c>
      <c r="F268" s="219">
        <v>50</v>
      </c>
      <c r="G268" s="219">
        <v>1</v>
      </c>
      <c r="J268" s="105"/>
      <c r="K268" s="99"/>
      <c r="L268" s="99"/>
      <c r="M268" s="108"/>
      <c r="N268" s="108"/>
      <c r="O268" s="108"/>
      <c r="P268" s="108"/>
      <c r="Q268" s="103"/>
    </row>
    <row r="269" spans="1:17">
      <c r="A269" s="101" t="s">
        <v>782</v>
      </c>
      <c r="B269" s="115" t="s">
        <v>1272</v>
      </c>
      <c r="C269" s="116" t="s">
        <v>152</v>
      </c>
      <c r="D269" s="115" t="s">
        <v>1271</v>
      </c>
      <c r="E269" s="214">
        <v>4113929.67</v>
      </c>
      <c r="F269" s="219">
        <v>105</v>
      </c>
      <c r="G269" s="219">
        <v>1</v>
      </c>
      <c r="J269" s="105"/>
      <c r="K269" s="99"/>
      <c r="L269" s="99"/>
      <c r="M269" s="108"/>
      <c r="N269" s="108"/>
      <c r="O269" s="108"/>
      <c r="P269" s="108"/>
      <c r="Q269" s="103"/>
    </row>
    <row r="270" spans="1:17">
      <c r="A270" s="101" t="s">
        <v>784</v>
      </c>
      <c r="B270" s="115" t="s">
        <v>1274</v>
      </c>
      <c r="C270" s="116" t="s">
        <v>130</v>
      </c>
      <c r="D270" s="115" t="s">
        <v>1271</v>
      </c>
      <c r="E270" s="214">
        <v>2633709.06</v>
      </c>
      <c r="F270" s="219">
        <v>40</v>
      </c>
      <c r="G270" s="219">
        <v>1</v>
      </c>
      <c r="J270" s="105"/>
      <c r="K270" s="99"/>
      <c r="L270" s="99"/>
      <c r="M270" s="108"/>
      <c r="N270" s="108"/>
      <c r="O270" s="108"/>
      <c r="P270" s="108"/>
      <c r="Q270" s="103"/>
    </row>
    <row r="271" spans="1:17">
      <c r="A271" s="101" t="s">
        <v>786</v>
      </c>
      <c r="B271" s="115" t="s">
        <v>1272</v>
      </c>
      <c r="C271" s="116" t="s">
        <v>137</v>
      </c>
      <c r="D271" s="115" t="s">
        <v>1271</v>
      </c>
      <c r="E271" s="214">
        <v>5233850.76</v>
      </c>
      <c r="F271" s="219">
        <v>82</v>
      </c>
      <c r="G271" s="219">
        <v>1</v>
      </c>
      <c r="J271" s="105"/>
      <c r="K271" s="99"/>
      <c r="L271" s="99"/>
      <c r="M271" s="108"/>
      <c r="N271" s="108"/>
      <c r="O271" s="108"/>
      <c r="P271" s="108"/>
      <c r="Q271" s="103"/>
    </row>
    <row r="272" spans="1:17">
      <c r="A272" s="101" t="s">
        <v>788</v>
      </c>
      <c r="B272" s="115" t="s">
        <v>1272</v>
      </c>
      <c r="C272" s="116" t="s">
        <v>154</v>
      </c>
      <c r="D272" s="115" t="s">
        <v>1273</v>
      </c>
      <c r="E272" s="214">
        <v>8022465.5800000001</v>
      </c>
      <c r="F272" s="219">
        <v>70</v>
      </c>
      <c r="G272" s="219">
        <v>1</v>
      </c>
      <c r="J272" s="105"/>
      <c r="K272" s="99"/>
      <c r="L272" s="99"/>
      <c r="M272" s="108"/>
      <c r="N272" s="108"/>
      <c r="O272" s="108"/>
      <c r="P272" s="108"/>
      <c r="Q272" s="103"/>
    </row>
    <row r="273" spans="1:17">
      <c r="A273" s="101" t="s">
        <v>790</v>
      </c>
      <c r="B273" s="115" t="s">
        <v>1272</v>
      </c>
      <c r="C273" s="116" t="s">
        <v>155</v>
      </c>
      <c r="D273" s="115" t="s">
        <v>1273</v>
      </c>
      <c r="E273" s="214">
        <v>2471638.1399999997</v>
      </c>
      <c r="F273" s="219">
        <v>30</v>
      </c>
      <c r="G273" s="219">
        <v>1</v>
      </c>
      <c r="J273" s="105"/>
      <c r="K273" s="99"/>
      <c r="L273" s="99"/>
      <c r="M273" s="108"/>
      <c r="N273" s="108"/>
      <c r="O273" s="108"/>
      <c r="P273" s="108"/>
      <c r="Q273" s="103"/>
    </row>
    <row r="274" spans="1:17">
      <c r="A274" s="101" t="s">
        <v>792</v>
      </c>
      <c r="B274" s="115" t="s">
        <v>1274</v>
      </c>
      <c r="C274" s="116" t="s">
        <v>139</v>
      </c>
      <c r="D274" s="115" t="s">
        <v>1271</v>
      </c>
      <c r="E274" s="214">
        <v>5519101.79</v>
      </c>
      <c r="F274" s="219">
        <v>69</v>
      </c>
      <c r="G274" s="219">
        <v>1</v>
      </c>
      <c r="J274" s="105"/>
      <c r="K274" s="99"/>
      <c r="L274" s="99"/>
      <c r="M274" s="108"/>
      <c r="N274" s="108"/>
      <c r="O274" s="108"/>
      <c r="P274" s="108"/>
      <c r="Q274" s="103"/>
    </row>
    <row r="275" spans="1:17">
      <c r="A275" s="101" t="s">
        <v>794</v>
      </c>
      <c r="B275" s="115" t="s">
        <v>1274</v>
      </c>
      <c r="C275" s="116" t="s">
        <v>139</v>
      </c>
      <c r="D275" s="115" t="s">
        <v>1271</v>
      </c>
      <c r="E275" s="214">
        <v>1626668.3900000001</v>
      </c>
      <c r="F275" s="219">
        <v>35</v>
      </c>
      <c r="G275" s="219">
        <v>1</v>
      </c>
      <c r="J275" s="105"/>
      <c r="K275" s="99"/>
      <c r="L275" s="99"/>
      <c r="M275" s="108"/>
      <c r="N275" s="108"/>
      <c r="O275" s="108"/>
      <c r="P275" s="108"/>
      <c r="Q275" s="103"/>
    </row>
    <row r="276" spans="1:17">
      <c r="A276" s="101" t="s">
        <v>796</v>
      </c>
      <c r="B276" s="115" t="s">
        <v>1274</v>
      </c>
      <c r="C276" s="116" t="s">
        <v>139</v>
      </c>
      <c r="D276" s="115" t="s">
        <v>1273</v>
      </c>
      <c r="E276" s="214">
        <v>1831646.54</v>
      </c>
      <c r="F276" s="219">
        <v>15</v>
      </c>
      <c r="G276" s="219">
        <v>1</v>
      </c>
      <c r="J276" s="105"/>
      <c r="K276" s="99"/>
      <c r="L276" s="99"/>
      <c r="M276" s="108"/>
      <c r="N276" s="108"/>
      <c r="O276" s="108"/>
      <c r="P276" s="108"/>
      <c r="Q276" s="103"/>
    </row>
    <row r="277" spans="1:17">
      <c r="A277" s="101" t="s">
        <v>798</v>
      </c>
      <c r="B277" s="115" t="s">
        <v>1274</v>
      </c>
      <c r="C277" s="116" t="s">
        <v>139</v>
      </c>
      <c r="D277" s="115" t="s">
        <v>1271</v>
      </c>
      <c r="E277" s="214">
        <v>3816420.84</v>
      </c>
      <c r="F277" s="219">
        <v>46</v>
      </c>
      <c r="G277" s="219">
        <v>1</v>
      </c>
      <c r="J277" s="105"/>
      <c r="K277" s="99"/>
      <c r="L277" s="99"/>
      <c r="M277" s="108"/>
      <c r="N277" s="108"/>
      <c r="O277" s="108"/>
      <c r="P277" s="108"/>
      <c r="Q277" s="103"/>
    </row>
    <row r="278" spans="1:17">
      <c r="A278" s="101" t="s">
        <v>800</v>
      </c>
      <c r="B278" s="115" t="s">
        <v>1272</v>
      </c>
      <c r="C278" s="116" t="s">
        <v>116</v>
      </c>
      <c r="D278" s="115" t="s">
        <v>1273</v>
      </c>
      <c r="E278" s="214">
        <v>11214479.940000001</v>
      </c>
      <c r="F278" s="219">
        <v>70</v>
      </c>
      <c r="G278" s="219">
        <v>1</v>
      </c>
      <c r="J278" s="105"/>
      <c r="K278" s="99"/>
      <c r="L278" s="99"/>
      <c r="M278" s="108"/>
      <c r="N278" s="108"/>
      <c r="O278" s="108"/>
      <c r="P278" s="108"/>
      <c r="Q278" s="103"/>
    </row>
    <row r="279" spans="1:17">
      <c r="A279" s="101" t="s">
        <v>804</v>
      </c>
      <c r="B279" s="115" t="s">
        <v>1272</v>
      </c>
      <c r="C279" s="116" t="s">
        <v>151</v>
      </c>
      <c r="D279" s="115" t="s">
        <v>1273</v>
      </c>
      <c r="E279" s="214">
        <v>7692381.3399999999</v>
      </c>
      <c r="F279" s="219">
        <v>62</v>
      </c>
      <c r="G279" s="219">
        <v>1</v>
      </c>
      <c r="J279" s="105"/>
      <c r="K279" s="99"/>
      <c r="L279" s="99"/>
      <c r="M279" s="108"/>
      <c r="N279" s="108"/>
      <c r="O279" s="108"/>
      <c r="P279" s="108"/>
      <c r="Q279" s="103"/>
    </row>
    <row r="280" spans="1:17">
      <c r="A280" s="101" t="s">
        <v>806</v>
      </c>
      <c r="B280" s="115" t="s">
        <v>1272</v>
      </c>
      <c r="C280" s="116" t="s">
        <v>151</v>
      </c>
      <c r="D280" s="115" t="s">
        <v>1271</v>
      </c>
      <c r="E280" s="214">
        <v>11606742.220000001</v>
      </c>
      <c r="F280" s="219">
        <v>105</v>
      </c>
      <c r="G280" s="219">
        <v>1</v>
      </c>
      <c r="J280" s="105"/>
      <c r="K280" s="99"/>
      <c r="L280" s="99"/>
      <c r="M280" s="108"/>
      <c r="N280" s="108"/>
      <c r="O280" s="108"/>
      <c r="P280" s="108"/>
      <c r="Q280" s="103"/>
    </row>
    <row r="281" spans="1:17">
      <c r="A281" s="101" t="s">
        <v>1431</v>
      </c>
      <c r="B281" s="115" t="s">
        <v>1272</v>
      </c>
      <c r="C281" s="116" t="s">
        <v>152</v>
      </c>
      <c r="D281" s="115" t="s">
        <v>1271</v>
      </c>
      <c r="E281" s="214">
        <v>5384390.6400000006</v>
      </c>
      <c r="F281" s="219">
        <v>80</v>
      </c>
      <c r="G281" s="219">
        <v>1</v>
      </c>
      <c r="J281" s="105"/>
      <c r="K281" s="99"/>
      <c r="L281" s="99"/>
      <c r="M281" s="108"/>
      <c r="N281" s="108"/>
      <c r="O281" s="108"/>
      <c r="P281" s="108"/>
      <c r="Q281" s="103"/>
    </row>
    <row r="282" spans="1:17">
      <c r="A282" s="101" t="s">
        <v>1432</v>
      </c>
      <c r="B282" s="115" t="s">
        <v>1272</v>
      </c>
      <c r="C282" s="116" t="s">
        <v>151</v>
      </c>
      <c r="D282" s="115" t="s">
        <v>1271</v>
      </c>
      <c r="E282" s="214">
        <v>7738947.2699999996</v>
      </c>
      <c r="F282" s="219">
        <v>92</v>
      </c>
      <c r="G282" s="219">
        <v>1</v>
      </c>
      <c r="J282" s="105"/>
      <c r="K282" s="99"/>
      <c r="L282" s="99"/>
      <c r="M282" s="108"/>
      <c r="N282" s="108"/>
      <c r="O282" s="108"/>
      <c r="P282" s="108"/>
      <c r="Q282" s="103"/>
    </row>
    <row r="283" spans="1:17">
      <c r="A283" s="101" t="s">
        <v>808</v>
      </c>
      <c r="B283" s="115" t="s">
        <v>1274</v>
      </c>
      <c r="C283" s="116" t="s">
        <v>103</v>
      </c>
      <c r="D283" s="115" t="s">
        <v>1271</v>
      </c>
      <c r="E283" s="214">
        <v>1035732.52</v>
      </c>
      <c r="F283" s="219">
        <v>40</v>
      </c>
      <c r="G283" s="219">
        <v>1</v>
      </c>
      <c r="J283" s="105"/>
      <c r="K283" s="99"/>
      <c r="L283" s="99"/>
      <c r="M283" s="108"/>
      <c r="N283" s="108"/>
      <c r="O283" s="108"/>
      <c r="P283" s="108"/>
      <c r="Q283" s="103"/>
    </row>
    <row r="284" spans="1:17">
      <c r="A284" s="101" t="s">
        <v>810</v>
      </c>
      <c r="B284" s="115" t="s">
        <v>1274</v>
      </c>
      <c r="C284" s="116" t="s">
        <v>36</v>
      </c>
      <c r="D284" s="115" t="s">
        <v>1271</v>
      </c>
      <c r="E284" s="214">
        <v>1483873.79</v>
      </c>
      <c r="F284" s="219">
        <v>32</v>
      </c>
      <c r="G284" s="219">
        <v>1</v>
      </c>
      <c r="J284" s="105"/>
      <c r="K284" s="99"/>
      <c r="L284" s="99"/>
      <c r="M284" s="108"/>
      <c r="N284" s="108"/>
      <c r="O284" s="108"/>
      <c r="P284" s="108"/>
      <c r="Q284" s="103"/>
    </row>
    <row r="285" spans="1:17">
      <c r="A285" s="101" t="s">
        <v>40</v>
      </c>
      <c r="B285" s="115" t="s">
        <v>1272</v>
      </c>
      <c r="C285" s="116" t="s">
        <v>109</v>
      </c>
      <c r="D285" s="115" t="s">
        <v>1273</v>
      </c>
      <c r="E285" s="214">
        <v>1865822.56</v>
      </c>
      <c r="F285" s="219">
        <v>50</v>
      </c>
      <c r="G285" s="219">
        <v>1</v>
      </c>
      <c r="J285" s="105"/>
      <c r="K285" s="99"/>
      <c r="L285" s="99"/>
      <c r="M285" s="108"/>
      <c r="N285" s="108"/>
      <c r="O285" s="108"/>
      <c r="P285" s="108"/>
      <c r="Q285" s="103"/>
    </row>
    <row r="286" spans="1:17">
      <c r="A286" s="101" t="s">
        <v>1433</v>
      </c>
      <c r="B286" s="115" t="s">
        <v>1274</v>
      </c>
      <c r="C286" s="116" t="s">
        <v>139</v>
      </c>
      <c r="D286" s="115" t="s">
        <v>1271</v>
      </c>
      <c r="E286" s="214">
        <v>856863.54</v>
      </c>
      <c r="F286" s="219">
        <v>23</v>
      </c>
      <c r="G286" s="219">
        <v>1</v>
      </c>
      <c r="J286" s="105"/>
      <c r="K286" s="99"/>
      <c r="L286" s="99"/>
      <c r="M286" s="108"/>
      <c r="N286" s="108"/>
      <c r="O286" s="108"/>
      <c r="P286" s="108"/>
      <c r="Q286" s="103"/>
    </row>
    <row r="287" spans="1:17">
      <c r="A287" s="101" t="s">
        <v>812</v>
      </c>
      <c r="B287" s="115" t="s">
        <v>1272</v>
      </c>
      <c r="C287" s="116" t="s">
        <v>152</v>
      </c>
      <c r="D287" s="115" t="s">
        <v>1273</v>
      </c>
      <c r="E287" s="214">
        <v>10632448.58</v>
      </c>
      <c r="F287" s="219">
        <v>68</v>
      </c>
      <c r="G287" s="219">
        <v>1</v>
      </c>
      <c r="J287" s="105"/>
      <c r="K287" s="99"/>
      <c r="L287" s="99"/>
      <c r="M287" s="108"/>
      <c r="N287" s="108"/>
      <c r="O287" s="108"/>
      <c r="P287" s="108"/>
      <c r="Q287" s="103"/>
    </row>
    <row r="288" spans="1:17">
      <c r="A288" s="101" t="s">
        <v>814</v>
      </c>
      <c r="B288" s="115" t="s">
        <v>1272</v>
      </c>
      <c r="C288" s="116" t="s">
        <v>128</v>
      </c>
      <c r="D288" s="115" t="s">
        <v>1271</v>
      </c>
      <c r="E288" s="214">
        <v>5649406.3499999996</v>
      </c>
      <c r="F288" s="219">
        <v>50</v>
      </c>
      <c r="G288" s="219">
        <v>1</v>
      </c>
      <c r="J288" s="105"/>
      <c r="K288" s="99"/>
      <c r="L288" s="99"/>
      <c r="M288" s="108"/>
      <c r="N288" s="108"/>
      <c r="O288" s="108"/>
      <c r="P288" s="108"/>
      <c r="Q288" s="103"/>
    </row>
    <row r="289" spans="1:17">
      <c r="A289" s="101" t="s">
        <v>816</v>
      </c>
      <c r="B289" s="115" t="s">
        <v>1272</v>
      </c>
      <c r="C289" s="116" t="s">
        <v>128</v>
      </c>
      <c r="D289" s="115" t="s">
        <v>1271</v>
      </c>
      <c r="E289" s="214">
        <v>3853948.7199999997</v>
      </c>
      <c r="F289" s="219">
        <v>35</v>
      </c>
      <c r="G289" s="219">
        <v>1</v>
      </c>
      <c r="J289" s="105"/>
      <c r="K289" s="99"/>
      <c r="L289" s="99"/>
      <c r="M289" s="108"/>
      <c r="N289" s="108"/>
      <c r="O289" s="108"/>
      <c r="P289" s="108"/>
      <c r="Q289" s="103"/>
    </row>
    <row r="290" spans="1:17">
      <c r="A290" s="101" t="s">
        <v>818</v>
      </c>
      <c r="B290" s="115" t="s">
        <v>1274</v>
      </c>
      <c r="C290" s="116" t="s">
        <v>129</v>
      </c>
      <c r="D290" s="115" t="s">
        <v>1273</v>
      </c>
      <c r="E290" s="214">
        <v>7585747.4199999999</v>
      </c>
      <c r="F290" s="219">
        <v>83</v>
      </c>
      <c r="G290" s="219">
        <v>1</v>
      </c>
      <c r="J290" s="105"/>
      <c r="K290" s="99"/>
      <c r="L290" s="99"/>
      <c r="M290" s="108"/>
      <c r="N290" s="108"/>
      <c r="O290" s="108"/>
      <c r="P290" s="108"/>
      <c r="Q290" s="103"/>
    </row>
    <row r="291" spans="1:17">
      <c r="A291" s="101" t="s">
        <v>820</v>
      </c>
      <c r="B291" s="115" t="s">
        <v>1274</v>
      </c>
      <c r="C291" s="116" t="s">
        <v>105</v>
      </c>
      <c r="D291" s="115" t="s">
        <v>1271</v>
      </c>
      <c r="E291" s="214">
        <v>5094793.6899999995</v>
      </c>
      <c r="F291" s="219">
        <v>70</v>
      </c>
      <c r="G291" s="219">
        <v>1</v>
      </c>
      <c r="J291" s="105"/>
      <c r="K291" s="99"/>
      <c r="L291" s="99"/>
      <c r="M291" s="108"/>
      <c r="N291" s="108"/>
      <c r="O291" s="108"/>
      <c r="P291" s="108"/>
      <c r="Q291" s="103"/>
    </row>
    <row r="292" spans="1:17">
      <c r="A292" s="101" t="s">
        <v>822</v>
      </c>
      <c r="B292" s="115" t="s">
        <v>1272</v>
      </c>
      <c r="C292" s="116" t="s">
        <v>154</v>
      </c>
      <c r="D292" s="115" t="s">
        <v>1271</v>
      </c>
      <c r="E292" s="214">
        <v>4195850.0600000005</v>
      </c>
      <c r="F292" s="219">
        <v>85</v>
      </c>
      <c r="G292" s="219">
        <v>1</v>
      </c>
      <c r="J292" s="105"/>
      <c r="K292" s="99"/>
      <c r="L292" s="99"/>
      <c r="M292" s="108"/>
      <c r="N292" s="108"/>
      <c r="O292" s="108"/>
      <c r="P292" s="108"/>
      <c r="Q292" s="103"/>
    </row>
    <row r="293" spans="1:17">
      <c r="A293" s="101" t="s">
        <v>826</v>
      </c>
      <c r="B293" s="115" t="s">
        <v>1274</v>
      </c>
      <c r="C293" s="116" t="s">
        <v>31</v>
      </c>
      <c r="D293" s="115" t="s">
        <v>1271</v>
      </c>
      <c r="E293" s="214">
        <v>2077645.2799999998</v>
      </c>
      <c r="F293" s="219">
        <v>59</v>
      </c>
      <c r="G293" s="219">
        <v>1</v>
      </c>
      <c r="J293" s="105"/>
      <c r="K293" s="99"/>
      <c r="L293" s="99"/>
      <c r="M293" s="108"/>
      <c r="N293" s="108"/>
      <c r="O293" s="108"/>
      <c r="P293" s="108"/>
      <c r="Q293" s="103"/>
    </row>
    <row r="294" spans="1:17">
      <c r="A294" s="101" t="s">
        <v>828</v>
      </c>
      <c r="B294" s="115" t="s">
        <v>1272</v>
      </c>
      <c r="C294" s="116" t="s">
        <v>151</v>
      </c>
      <c r="D294" s="115" t="s">
        <v>1273</v>
      </c>
      <c r="E294" s="214">
        <v>5408748.0899999999</v>
      </c>
      <c r="F294" s="219">
        <v>45</v>
      </c>
      <c r="G294" s="219">
        <v>1</v>
      </c>
      <c r="J294" s="105"/>
      <c r="K294" s="99"/>
      <c r="L294" s="99"/>
      <c r="M294" s="108"/>
      <c r="N294" s="108"/>
      <c r="O294" s="108"/>
      <c r="P294" s="108"/>
      <c r="Q294" s="103"/>
    </row>
    <row r="295" spans="1:17">
      <c r="A295" s="101" t="s">
        <v>832</v>
      </c>
      <c r="B295" s="115" t="s">
        <v>1274</v>
      </c>
      <c r="C295" s="116" t="s">
        <v>129</v>
      </c>
      <c r="D295" s="115" t="s">
        <v>1271</v>
      </c>
      <c r="E295" s="214">
        <v>4823612.17</v>
      </c>
      <c r="F295" s="219">
        <v>60</v>
      </c>
      <c r="G295" s="219">
        <v>1</v>
      </c>
      <c r="J295" s="105"/>
      <c r="K295" s="99"/>
      <c r="L295" s="99"/>
      <c r="M295" s="108"/>
      <c r="N295" s="108"/>
      <c r="O295" s="108"/>
      <c r="P295" s="108"/>
      <c r="Q295" s="103"/>
    </row>
    <row r="296" spans="1:17">
      <c r="A296" s="101" t="s">
        <v>834</v>
      </c>
      <c r="B296" s="115" t="s">
        <v>1272</v>
      </c>
      <c r="C296" s="116" t="s">
        <v>106</v>
      </c>
      <c r="D296" s="115" t="s">
        <v>1273</v>
      </c>
      <c r="E296" s="214">
        <v>11307904.789999999</v>
      </c>
      <c r="F296" s="219">
        <v>93</v>
      </c>
      <c r="G296" s="219">
        <v>1</v>
      </c>
      <c r="J296" s="105"/>
      <c r="K296" s="99"/>
      <c r="L296" s="99"/>
      <c r="M296" s="108"/>
      <c r="N296" s="108"/>
      <c r="O296" s="108"/>
      <c r="P296" s="108"/>
      <c r="Q296" s="103"/>
    </row>
    <row r="297" spans="1:17">
      <c r="A297" s="101" t="s">
        <v>836</v>
      </c>
      <c r="B297" s="115" t="s">
        <v>1272</v>
      </c>
      <c r="C297" s="116" t="s">
        <v>177</v>
      </c>
      <c r="D297" s="115" t="s">
        <v>1273</v>
      </c>
      <c r="E297" s="214">
        <v>3389216.94</v>
      </c>
      <c r="F297" s="219">
        <v>47</v>
      </c>
      <c r="G297" s="219">
        <v>1</v>
      </c>
      <c r="J297" s="105"/>
      <c r="K297" s="99"/>
      <c r="L297" s="99"/>
      <c r="M297" s="108"/>
      <c r="N297" s="108"/>
      <c r="O297" s="108"/>
      <c r="P297" s="108"/>
      <c r="Q297" s="103"/>
    </row>
    <row r="298" spans="1:17">
      <c r="A298" s="101" t="s">
        <v>838</v>
      </c>
      <c r="B298" s="115" t="s">
        <v>1272</v>
      </c>
      <c r="C298" s="116" t="s">
        <v>135</v>
      </c>
      <c r="D298" s="115" t="s">
        <v>1273</v>
      </c>
      <c r="E298" s="214">
        <v>5663688.8300000001</v>
      </c>
      <c r="F298" s="219">
        <v>43</v>
      </c>
      <c r="G298" s="219">
        <v>1</v>
      </c>
      <c r="J298" s="105"/>
      <c r="K298" s="99"/>
      <c r="L298" s="99"/>
      <c r="M298" s="108"/>
      <c r="N298" s="108"/>
      <c r="O298" s="108"/>
      <c r="P298" s="108"/>
      <c r="Q298" s="103"/>
    </row>
    <row r="299" spans="1:17">
      <c r="A299" s="101" t="s">
        <v>840</v>
      </c>
      <c r="B299" s="115" t="s">
        <v>1272</v>
      </c>
      <c r="C299" s="116" t="s">
        <v>120</v>
      </c>
      <c r="D299" s="115" t="s">
        <v>1273</v>
      </c>
      <c r="E299" s="214">
        <v>10435325.789999999</v>
      </c>
      <c r="F299" s="219">
        <v>80</v>
      </c>
      <c r="G299" s="219">
        <v>1</v>
      </c>
      <c r="J299" s="105"/>
      <c r="K299" s="99"/>
      <c r="L299" s="99"/>
      <c r="M299" s="108"/>
      <c r="N299" s="108"/>
      <c r="O299" s="108"/>
      <c r="P299" s="108"/>
      <c r="Q299" s="103"/>
    </row>
    <row r="300" spans="1:17">
      <c r="A300" s="101" t="s">
        <v>842</v>
      </c>
      <c r="B300" s="115" t="s">
        <v>1274</v>
      </c>
      <c r="C300" s="116" t="s">
        <v>148</v>
      </c>
      <c r="D300" s="115" t="s">
        <v>1271</v>
      </c>
      <c r="E300" s="214">
        <v>349885.57</v>
      </c>
      <c r="F300" s="219">
        <v>5</v>
      </c>
      <c r="G300" s="219">
        <v>1</v>
      </c>
      <c r="J300" s="105"/>
      <c r="K300" s="99"/>
      <c r="L300" s="99"/>
      <c r="M300" s="108"/>
      <c r="N300" s="108"/>
      <c r="O300" s="108"/>
      <c r="P300" s="108"/>
      <c r="Q300" s="103"/>
    </row>
    <row r="301" spans="1:17">
      <c r="A301" s="101" t="s">
        <v>844</v>
      </c>
      <c r="B301" s="115" t="s">
        <v>1272</v>
      </c>
      <c r="C301" s="116" t="s">
        <v>115</v>
      </c>
      <c r="D301" s="115" t="s">
        <v>1273</v>
      </c>
      <c r="E301" s="214">
        <v>6123487.1799999997</v>
      </c>
      <c r="F301" s="219">
        <v>70</v>
      </c>
      <c r="G301" s="219">
        <v>1</v>
      </c>
      <c r="J301" s="105"/>
      <c r="K301" s="99"/>
      <c r="L301" s="99"/>
      <c r="M301" s="108"/>
      <c r="N301" s="108"/>
      <c r="O301" s="108"/>
      <c r="P301" s="108"/>
      <c r="Q301" s="103"/>
    </row>
    <row r="302" spans="1:17">
      <c r="A302" s="101" t="s">
        <v>850</v>
      </c>
      <c r="B302" s="115" t="s">
        <v>1272</v>
      </c>
      <c r="C302" s="116" t="s">
        <v>111</v>
      </c>
      <c r="D302" s="115" t="s">
        <v>1273</v>
      </c>
      <c r="E302" s="214">
        <v>4204444.41</v>
      </c>
      <c r="F302" s="219">
        <v>40</v>
      </c>
      <c r="G302" s="219">
        <v>1</v>
      </c>
      <c r="J302" s="105"/>
      <c r="K302" s="99"/>
      <c r="L302" s="99"/>
      <c r="M302" s="108"/>
      <c r="N302" s="108"/>
      <c r="O302" s="108"/>
      <c r="P302" s="108"/>
      <c r="Q302" s="103"/>
    </row>
    <row r="303" spans="1:17">
      <c r="A303" s="101" t="s">
        <v>852</v>
      </c>
      <c r="B303" s="115" t="s">
        <v>1272</v>
      </c>
      <c r="C303" s="116" t="s">
        <v>39</v>
      </c>
      <c r="D303" s="115" t="s">
        <v>1273</v>
      </c>
      <c r="E303" s="214">
        <v>2695824.77</v>
      </c>
      <c r="F303" s="219">
        <v>30</v>
      </c>
      <c r="G303" s="219">
        <v>1</v>
      </c>
      <c r="J303" s="105"/>
      <c r="K303" s="99"/>
      <c r="L303" s="99"/>
      <c r="M303" s="108"/>
      <c r="N303" s="108"/>
      <c r="O303" s="108"/>
      <c r="P303" s="108"/>
      <c r="Q303" s="103"/>
    </row>
    <row r="304" spans="1:17">
      <c r="A304" s="101" t="s">
        <v>854</v>
      </c>
      <c r="B304" s="115" t="s">
        <v>1272</v>
      </c>
      <c r="C304" s="116" t="s">
        <v>154</v>
      </c>
      <c r="D304" s="115" t="s">
        <v>1271</v>
      </c>
      <c r="E304" s="214">
        <v>3198846.6500000004</v>
      </c>
      <c r="F304" s="219">
        <v>47</v>
      </c>
      <c r="G304" s="219">
        <v>1</v>
      </c>
      <c r="J304" s="105"/>
      <c r="K304" s="99"/>
      <c r="L304" s="99"/>
      <c r="M304" s="108"/>
      <c r="N304" s="108"/>
      <c r="O304" s="108"/>
      <c r="P304" s="108"/>
      <c r="Q304" s="103"/>
    </row>
    <row r="305" spans="1:17">
      <c r="A305" s="101" t="s">
        <v>856</v>
      </c>
      <c r="B305" s="115" t="s">
        <v>1272</v>
      </c>
      <c r="C305" s="116" t="s">
        <v>154</v>
      </c>
      <c r="D305" s="115" t="s">
        <v>1273</v>
      </c>
      <c r="E305" s="214">
        <v>5787450.8300000001</v>
      </c>
      <c r="F305" s="219">
        <v>42</v>
      </c>
      <c r="G305" s="219">
        <v>1</v>
      </c>
      <c r="J305" s="105"/>
      <c r="K305" s="99"/>
      <c r="L305" s="99"/>
      <c r="M305" s="108"/>
      <c r="N305" s="108"/>
      <c r="O305" s="108"/>
      <c r="P305" s="108"/>
      <c r="Q305" s="103"/>
    </row>
    <row r="306" spans="1:17">
      <c r="A306" s="101" t="s">
        <v>858</v>
      </c>
      <c r="B306" s="115" t="s">
        <v>1272</v>
      </c>
      <c r="C306" s="116" t="s">
        <v>155</v>
      </c>
      <c r="D306" s="115" t="s">
        <v>1271</v>
      </c>
      <c r="E306" s="214">
        <v>2056037.4</v>
      </c>
      <c r="F306" s="219">
        <v>35</v>
      </c>
      <c r="G306" s="219">
        <v>1</v>
      </c>
      <c r="J306" s="105"/>
      <c r="K306" s="99"/>
      <c r="L306" s="99"/>
      <c r="M306" s="108"/>
      <c r="N306" s="108"/>
      <c r="O306" s="108"/>
      <c r="P306" s="108"/>
      <c r="Q306" s="103"/>
    </row>
    <row r="307" spans="1:17">
      <c r="A307" s="101" t="s">
        <v>860</v>
      </c>
      <c r="B307" s="115" t="s">
        <v>1274</v>
      </c>
      <c r="C307" s="116" t="s">
        <v>129</v>
      </c>
      <c r="D307" s="115" t="s">
        <v>1273</v>
      </c>
      <c r="E307" s="214">
        <v>6202047.4700000007</v>
      </c>
      <c r="F307" s="219">
        <v>55</v>
      </c>
      <c r="G307" s="219">
        <v>1</v>
      </c>
      <c r="J307" s="105"/>
      <c r="K307" s="99"/>
      <c r="L307" s="99"/>
      <c r="M307" s="108"/>
      <c r="N307" s="108"/>
      <c r="O307" s="108"/>
      <c r="P307" s="108"/>
      <c r="Q307" s="103"/>
    </row>
    <row r="308" spans="1:17">
      <c r="A308" s="101" t="s">
        <v>862</v>
      </c>
      <c r="B308" s="115" t="s">
        <v>1274</v>
      </c>
      <c r="C308" s="116" t="s">
        <v>130</v>
      </c>
      <c r="D308" s="115" t="s">
        <v>1273</v>
      </c>
      <c r="E308" s="214">
        <v>1702097.79</v>
      </c>
      <c r="F308" s="219">
        <v>20</v>
      </c>
      <c r="G308" s="219">
        <v>1</v>
      </c>
      <c r="J308" s="105"/>
      <c r="K308" s="99"/>
      <c r="L308" s="99"/>
      <c r="M308" s="108"/>
      <c r="N308" s="108"/>
      <c r="O308" s="108"/>
      <c r="P308" s="108"/>
      <c r="Q308" s="103"/>
    </row>
    <row r="309" spans="1:17">
      <c r="A309" s="101" t="s">
        <v>866</v>
      </c>
      <c r="B309" s="115" t="s">
        <v>1274</v>
      </c>
      <c r="C309" s="116" t="s">
        <v>107</v>
      </c>
      <c r="D309" s="115" t="s">
        <v>1271</v>
      </c>
      <c r="E309" s="214">
        <v>6486670.1200000001</v>
      </c>
      <c r="F309" s="219">
        <v>58</v>
      </c>
      <c r="G309" s="219">
        <v>1</v>
      </c>
      <c r="J309" s="105"/>
      <c r="K309" s="99"/>
      <c r="L309" s="99"/>
      <c r="M309" s="108"/>
      <c r="N309" s="108"/>
      <c r="O309" s="108"/>
      <c r="P309" s="108"/>
      <c r="Q309" s="103"/>
    </row>
    <row r="310" spans="1:17">
      <c r="A310" s="101" t="s">
        <v>868</v>
      </c>
      <c r="B310" s="115" t="s">
        <v>1274</v>
      </c>
      <c r="C310" s="116" t="s">
        <v>129</v>
      </c>
      <c r="D310" s="115" t="s">
        <v>1273</v>
      </c>
      <c r="E310" s="214">
        <v>3049937.7199999997</v>
      </c>
      <c r="F310" s="219">
        <v>28</v>
      </c>
      <c r="G310" s="219">
        <v>1</v>
      </c>
      <c r="J310" s="105"/>
      <c r="K310" s="99"/>
      <c r="L310" s="99"/>
      <c r="M310" s="108"/>
      <c r="N310" s="108"/>
      <c r="O310" s="108"/>
      <c r="P310" s="108"/>
      <c r="Q310" s="103"/>
    </row>
    <row r="311" spans="1:17">
      <c r="A311" s="101" t="s">
        <v>870</v>
      </c>
      <c r="B311" s="115" t="s">
        <v>1272</v>
      </c>
      <c r="C311" s="116" t="s">
        <v>122</v>
      </c>
      <c r="D311" s="115" t="s">
        <v>1273</v>
      </c>
      <c r="E311" s="214">
        <v>5786912.6299999999</v>
      </c>
      <c r="F311" s="219">
        <v>58</v>
      </c>
      <c r="G311" s="219">
        <v>1</v>
      </c>
      <c r="J311" s="105"/>
      <c r="K311" s="99"/>
      <c r="L311" s="99"/>
      <c r="M311" s="108"/>
      <c r="N311" s="108"/>
      <c r="O311" s="108"/>
      <c r="P311" s="108"/>
      <c r="Q311" s="103"/>
    </row>
    <row r="312" spans="1:17">
      <c r="A312" s="101" t="s">
        <v>872</v>
      </c>
      <c r="B312" s="115" t="s">
        <v>1274</v>
      </c>
      <c r="C312" s="116" t="s">
        <v>171</v>
      </c>
      <c r="D312" s="115" t="s">
        <v>1273</v>
      </c>
      <c r="E312" s="214">
        <v>3601214.2</v>
      </c>
      <c r="F312" s="219">
        <v>44</v>
      </c>
      <c r="G312" s="219">
        <v>1</v>
      </c>
      <c r="J312" s="105"/>
      <c r="K312" s="99"/>
      <c r="L312" s="99"/>
      <c r="M312" s="108"/>
      <c r="N312" s="108"/>
      <c r="O312" s="108"/>
      <c r="P312" s="108"/>
      <c r="Q312" s="103"/>
    </row>
    <row r="313" spans="1:17">
      <c r="A313" s="101" t="s">
        <v>874</v>
      </c>
      <c r="B313" s="115" t="s">
        <v>1272</v>
      </c>
      <c r="C313" s="116" t="s">
        <v>128</v>
      </c>
      <c r="D313" s="115" t="s">
        <v>1273</v>
      </c>
      <c r="E313" s="214">
        <v>3226669.12</v>
      </c>
      <c r="F313" s="219">
        <v>25</v>
      </c>
      <c r="G313" s="219">
        <v>1</v>
      </c>
      <c r="J313" s="105"/>
      <c r="K313" s="99"/>
      <c r="L313" s="99"/>
      <c r="M313" s="108"/>
      <c r="N313" s="108"/>
      <c r="O313" s="108"/>
      <c r="P313" s="108"/>
      <c r="Q313" s="103"/>
    </row>
    <row r="314" spans="1:17">
      <c r="A314" s="101" t="s">
        <v>876</v>
      </c>
      <c r="B314" s="115" t="s">
        <v>1272</v>
      </c>
      <c r="C314" s="116" t="s">
        <v>146</v>
      </c>
      <c r="D314" s="115" t="s">
        <v>1273</v>
      </c>
      <c r="E314" s="214">
        <v>6835427.1099999994</v>
      </c>
      <c r="F314" s="219">
        <v>66</v>
      </c>
      <c r="G314" s="219">
        <v>1</v>
      </c>
      <c r="J314" s="105"/>
      <c r="K314" s="99"/>
      <c r="L314" s="99"/>
      <c r="M314" s="108"/>
      <c r="N314" s="108"/>
      <c r="O314" s="108"/>
      <c r="P314" s="108"/>
      <c r="Q314" s="103"/>
    </row>
    <row r="315" spans="1:17">
      <c r="A315" s="101" t="s">
        <v>878</v>
      </c>
      <c r="B315" s="115" t="s">
        <v>1272</v>
      </c>
      <c r="C315" s="116" t="s">
        <v>174</v>
      </c>
      <c r="D315" s="115" t="s">
        <v>1273</v>
      </c>
      <c r="E315" s="214">
        <v>19555135.109999999</v>
      </c>
      <c r="F315" s="219">
        <v>100</v>
      </c>
      <c r="G315" s="219">
        <v>1</v>
      </c>
      <c r="J315" s="105"/>
      <c r="K315" s="99"/>
      <c r="L315" s="99"/>
      <c r="M315" s="108"/>
      <c r="N315" s="108"/>
      <c r="O315" s="108"/>
      <c r="P315" s="108"/>
      <c r="Q315" s="103"/>
    </row>
    <row r="316" spans="1:17">
      <c r="A316" s="101" t="s">
        <v>880</v>
      </c>
      <c r="B316" s="115" t="s">
        <v>1274</v>
      </c>
      <c r="C316" s="116" t="s">
        <v>129</v>
      </c>
      <c r="D316" s="115" t="s">
        <v>1271</v>
      </c>
      <c r="E316" s="214">
        <v>1746171.49</v>
      </c>
      <c r="F316" s="219">
        <v>35</v>
      </c>
      <c r="G316" s="219">
        <v>1</v>
      </c>
      <c r="J316" s="105"/>
      <c r="K316" s="99"/>
      <c r="L316" s="99"/>
      <c r="M316" s="108"/>
      <c r="N316" s="108"/>
      <c r="O316" s="108"/>
      <c r="P316" s="108"/>
      <c r="Q316" s="103"/>
    </row>
    <row r="317" spans="1:17">
      <c r="A317" s="101" t="s">
        <v>882</v>
      </c>
      <c r="B317" s="115" t="s">
        <v>1274</v>
      </c>
      <c r="C317" s="116" t="s">
        <v>129</v>
      </c>
      <c r="D317" s="115" t="s">
        <v>1271</v>
      </c>
      <c r="E317" s="214">
        <v>4456287.8900000006</v>
      </c>
      <c r="F317" s="219">
        <v>65</v>
      </c>
      <c r="G317" s="219">
        <v>1</v>
      </c>
      <c r="J317" s="105"/>
      <c r="K317" s="99"/>
      <c r="L317" s="99"/>
      <c r="M317" s="108"/>
      <c r="N317" s="108"/>
      <c r="O317" s="108"/>
      <c r="P317" s="108"/>
      <c r="Q317" s="103"/>
    </row>
    <row r="318" spans="1:17">
      <c r="A318" s="101" t="s">
        <v>884</v>
      </c>
      <c r="B318" s="115" t="s">
        <v>1274</v>
      </c>
      <c r="C318" s="116" t="s">
        <v>125</v>
      </c>
      <c r="D318" s="115" t="s">
        <v>1271</v>
      </c>
      <c r="E318" s="214">
        <v>1452614.72</v>
      </c>
      <c r="F318" s="219">
        <v>25</v>
      </c>
      <c r="G318" s="219">
        <v>1</v>
      </c>
      <c r="J318" s="105"/>
      <c r="K318" s="99"/>
      <c r="L318" s="99"/>
      <c r="M318" s="108"/>
      <c r="N318" s="108"/>
      <c r="O318" s="108"/>
      <c r="P318" s="108"/>
      <c r="Q318" s="103"/>
    </row>
    <row r="319" spans="1:17">
      <c r="A319" s="101" t="s">
        <v>886</v>
      </c>
      <c r="B319" s="115" t="s">
        <v>1274</v>
      </c>
      <c r="C319" s="116" t="s">
        <v>125</v>
      </c>
      <c r="D319" s="115" t="s">
        <v>1271</v>
      </c>
      <c r="E319" s="214">
        <v>1365666</v>
      </c>
      <c r="F319" s="219">
        <v>40</v>
      </c>
      <c r="G319" s="219">
        <v>1</v>
      </c>
      <c r="J319" s="105"/>
      <c r="K319" s="99"/>
      <c r="L319" s="99"/>
      <c r="M319" s="108"/>
      <c r="N319" s="108"/>
      <c r="O319" s="108"/>
      <c r="P319" s="108"/>
      <c r="Q319" s="103"/>
    </row>
    <row r="320" spans="1:17">
      <c r="A320" s="101" t="s">
        <v>888</v>
      </c>
      <c r="B320" s="115" t="s">
        <v>1272</v>
      </c>
      <c r="C320" s="116" t="s">
        <v>144</v>
      </c>
      <c r="D320" s="115" t="s">
        <v>1273</v>
      </c>
      <c r="E320" s="214">
        <v>4324871.59</v>
      </c>
      <c r="F320" s="219">
        <v>47</v>
      </c>
      <c r="G320" s="219">
        <v>1</v>
      </c>
      <c r="J320" s="105"/>
      <c r="K320" s="99"/>
      <c r="L320" s="99"/>
      <c r="M320" s="108"/>
      <c r="N320" s="108"/>
      <c r="O320" s="108"/>
      <c r="P320" s="108"/>
      <c r="Q320" s="103"/>
    </row>
    <row r="321" spans="1:17">
      <c r="A321" s="101" t="s">
        <v>890</v>
      </c>
      <c r="B321" s="115" t="s">
        <v>1272</v>
      </c>
      <c r="C321" s="116" t="s">
        <v>166</v>
      </c>
      <c r="D321" s="115" t="s">
        <v>1271</v>
      </c>
      <c r="E321" s="214">
        <v>4760510.08</v>
      </c>
      <c r="F321" s="219">
        <v>81</v>
      </c>
      <c r="G321" s="219">
        <v>1</v>
      </c>
      <c r="J321" s="105"/>
      <c r="K321" s="99"/>
      <c r="L321" s="99"/>
      <c r="M321" s="108"/>
      <c r="N321" s="108"/>
      <c r="O321" s="108"/>
      <c r="P321" s="108"/>
      <c r="Q321" s="103"/>
    </row>
    <row r="322" spans="1:17">
      <c r="A322" s="101" t="s">
        <v>892</v>
      </c>
      <c r="B322" s="115" t="s">
        <v>1272</v>
      </c>
      <c r="C322" s="116" t="s">
        <v>120</v>
      </c>
      <c r="D322" s="115" t="s">
        <v>1273</v>
      </c>
      <c r="E322" s="214">
        <v>4456562.38</v>
      </c>
      <c r="F322" s="219">
        <v>40</v>
      </c>
      <c r="G322" s="219">
        <v>1</v>
      </c>
      <c r="J322" s="105"/>
      <c r="K322" s="99"/>
      <c r="L322" s="99"/>
      <c r="M322" s="108"/>
      <c r="N322" s="108"/>
      <c r="O322" s="108"/>
      <c r="P322" s="108"/>
      <c r="Q322" s="103"/>
    </row>
    <row r="323" spans="1:17">
      <c r="A323" s="101" t="s">
        <v>894</v>
      </c>
      <c r="B323" s="115" t="s">
        <v>1272</v>
      </c>
      <c r="C323" s="116" t="s">
        <v>116</v>
      </c>
      <c r="D323" s="115" t="s">
        <v>1273</v>
      </c>
      <c r="E323" s="214">
        <v>12028042.57</v>
      </c>
      <c r="F323" s="219">
        <v>79</v>
      </c>
      <c r="G323" s="219">
        <v>1</v>
      </c>
      <c r="J323" s="105"/>
      <c r="K323" s="99"/>
      <c r="L323" s="99"/>
      <c r="M323" s="108"/>
      <c r="N323" s="108"/>
      <c r="O323" s="108"/>
      <c r="P323" s="108"/>
      <c r="Q323" s="103"/>
    </row>
    <row r="324" spans="1:17">
      <c r="A324" s="101" t="s">
        <v>896</v>
      </c>
      <c r="B324" s="115" t="s">
        <v>1272</v>
      </c>
      <c r="C324" s="116" t="s">
        <v>39</v>
      </c>
      <c r="D324" s="115" t="s">
        <v>1273</v>
      </c>
      <c r="E324" s="214">
        <v>1880962.1</v>
      </c>
      <c r="F324" s="219">
        <v>20</v>
      </c>
      <c r="G324" s="219">
        <v>1</v>
      </c>
      <c r="J324" s="105"/>
      <c r="K324" s="99"/>
      <c r="L324" s="99"/>
      <c r="M324" s="108"/>
      <c r="N324" s="108"/>
      <c r="O324" s="108"/>
      <c r="P324" s="108"/>
      <c r="Q324" s="103"/>
    </row>
    <row r="325" spans="1:17">
      <c r="A325" s="101" t="s">
        <v>1278</v>
      </c>
      <c r="B325" s="115" t="s">
        <v>1274</v>
      </c>
      <c r="C325" s="116" t="s">
        <v>494</v>
      </c>
      <c r="D325" s="115" t="s">
        <v>1271</v>
      </c>
      <c r="E325" s="214">
        <v>1315335.77</v>
      </c>
      <c r="F325" s="219">
        <v>30</v>
      </c>
      <c r="G325" s="219">
        <v>1</v>
      </c>
      <c r="J325" s="105"/>
      <c r="K325" s="99"/>
      <c r="L325" s="99"/>
      <c r="M325" s="108"/>
      <c r="N325" s="108"/>
      <c r="O325" s="108"/>
      <c r="P325" s="108"/>
      <c r="Q325" s="103"/>
    </row>
    <row r="326" spans="1:17">
      <c r="A326" s="101" t="s">
        <v>900</v>
      </c>
      <c r="B326" s="115" t="s">
        <v>1272</v>
      </c>
      <c r="C326" s="116" t="s">
        <v>166</v>
      </c>
      <c r="D326" s="115" t="s">
        <v>1273</v>
      </c>
      <c r="E326" s="214">
        <v>2070720.9</v>
      </c>
      <c r="F326" s="219">
        <v>40</v>
      </c>
      <c r="G326" s="219">
        <v>1</v>
      </c>
      <c r="J326" s="105"/>
      <c r="K326" s="99"/>
      <c r="L326" s="99"/>
      <c r="M326" s="108"/>
      <c r="N326" s="108"/>
      <c r="O326" s="108"/>
      <c r="P326" s="108"/>
      <c r="Q326" s="103"/>
    </row>
    <row r="327" spans="1:17">
      <c r="A327" s="101" t="s">
        <v>902</v>
      </c>
      <c r="B327" s="115" t="s">
        <v>1272</v>
      </c>
      <c r="C327" s="116" t="s">
        <v>175</v>
      </c>
      <c r="D327" s="115" t="s">
        <v>1273</v>
      </c>
      <c r="E327" s="214">
        <v>4799606.7699999996</v>
      </c>
      <c r="F327" s="219">
        <v>52</v>
      </c>
      <c r="G327" s="219">
        <v>1</v>
      </c>
      <c r="J327" s="105"/>
      <c r="K327" s="99"/>
      <c r="L327" s="99"/>
      <c r="M327" s="108"/>
      <c r="N327" s="108"/>
      <c r="O327" s="108"/>
      <c r="P327" s="108"/>
      <c r="Q327" s="103"/>
    </row>
    <row r="328" spans="1:17">
      <c r="A328" s="101" t="s">
        <v>904</v>
      </c>
      <c r="B328" s="115" t="s">
        <v>1274</v>
      </c>
      <c r="C328" s="116" t="s">
        <v>179</v>
      </c>
      <c r="D328" s="115" t="s">
        <v>1273</v>
      </c>
      <c r="E328" s="214">
        <v>1568524.65</v>
      </c>
      <c r="F328" s="219">
        <v>19</v>
      </c>
      <c r="G328" s="219">
        <v>1</v>
      </c>
      <c r="J328" s="105"/>
      <c r="K328" s="99"/>
      <c r="L328" s="99"/>
      <c r="M328" s="108"/>
      <c r="N328" s="108"/>
      <c r="O328" s="108"/>
      <c r="P328" s="108"/>
      <c r="Q328" s="103"/>
    </row>
    <row r="329" spans="1:17">
      <c r="A329" s="101" t="s">
        <v>906</v>
      </c>
      <c r="B329" s="115" t="s">
        <v>1274</v>
      </c>
      <c r="C329" s="116" t="s">
        <v>149</v>
      </c>
      <c r="D329" s="115" t="s">
        <v>1273</v>
      </c>
      <c r="E329" s="214">
        <v>3687355.25</v>
      </c>
      <c r="F329" s="219">
        <v>33</v>
      </c>
      <c r="G329" s="219">
        <v>1</v>
      </c>
      <c r="J329" s="105"/>
      <c r="K329" s="99"/>
      <c r="L329" s="99"/>
      <c r="M329" s="108"/>
      <c r="N329" s="108"/>
      <c r="O329" s="108"/>
      <c r="P329" s="108"/>
      <c r="Q329" s="103"/>
    </row>
    <row r="330" spans="1:17">
      <c r="A330" s="101" t="s">
        <v>908</v>
      </c>
      <c r="B330" s="115" t="s">
        <v>1274</v>
      </c>
      <c r="C330" s="116" t="s">
        <v>148</v>
      </c>
      <c r="D330" s="115" t="s">
        <v>1271</v>
      </c>
      <c r="E330" s="214">
        <v>2856362.37</v>
      </c>
      <c r="F330" s="219">
        <v>33</v>
      </c>
      <c r="G330" s="219">
        <v>1</v>
      </c>
      <c r="J330" s="105"/>
      <c r="K330" s="99"/>
      <c r="L330" s="99"/>
      <c r="M330" s="108"/>
      <c r="N330" s="108"/>
      <c r="O330" s="108"/>
      <c r="P330" s="108"/>
      <c r="Q330" s="103"/>
    </row>
    <row r="331" spans="1:17">
      <c r="A331" s="101" t="s">
        <v>910</v>
      </c>
      <c r="B331" s="115" t="s">
        <v>1274</v>
      </c>
      <c r="C331" s="116" t="s">
        <v>105</v>
      </c>
      <c r="D331" s="115" t="s">
        <v>1273</v>
      </c>
      <c r="E331" s="214">
        <v>3810955.21</v>
      </c>
      <c r="F331" s="219">
        <v>54</v>
      </c>
      <c r="G331" s="219">
        <v>1</v>
      </c>
      <c r="J331" s="105"/>
      <c r="K331" s="99"/>
      <c r="L331" s="99"/>
      <c r="M331" s="108"/>
      <c r="N331" s="108"/>
      <c r="O331" s="108"/>
      <c r="P331" s="108"/>
      <c r="Q331" s="103"/>
    </row>
    <row r="332" spans="1:17">
      <c r="A332" s="101" t="s">
        <v>916</v>
      </c>
      <c r="B332" s="115" t="s">
        <v>1272</v>
      </c>
      <c r="C332" s="116" t="s">
        <v>120</v>
      </c>
      <c r="D332" s="115" t="s">
        <v>1271</v>
      </c>
      <c r="E332" s="214">
        <v>4465581.5199999996</v>
      </c>
      <c r="F332" s="219">
        <v>68</v>
      </c>
      <c r="G332" s="219">
        <v>1</v>
      </c>
      <c r="J332" s="105"/>
      <c r="K332" s="99"/>
      <c r="L332" s="99"/>
      <c r="M332" s="108"/>
      <c r="N332" s="108"/>
      <c r="O332" s="108"/>
      <c r="P332" s="108"/>
      <c r="Q332" s="103"/>
    </row>
    <row r="333" spans="1:17">
      <c r="A333" s="101" t="s">
        <v>920</v>
      </c>
      <c r="B333" s="115" t="s">
        <v>1272</v>
      </c>
      <c r="C333" s="116" t="s">
        <v>133</v>
      </c>
      <c r="D333" s="115" t="s">
        <v>1273</v>
      </c>
      <c r="E333" s="214">
        <v>2860185.94</v>
      </c>
      <c r="F333" s="219">
        <v>40</v>
      </c>
      <c r="G333" s="219">
        <v>1</v>
      </c>
      <c r="J333" s="105"/>
      <c r="K333" s="99"/>
      <c r="L333" s="99"/>
      <c r="M333" s="108"/>
      <c r="N333" s="108"/>
      <c r="O333" s="108"/>
      <c r="P333" s="108"/>
      <c r="Q333" s="103"/>
    </row>
    <row r="334" spans="1:17">
      <c r="A334" s="101" t="s">
        <v>922</v>
      </c>
      <c r="B334" s="115" t="s">
        <v>1272</v>
      </c>
      <c r="C334" s="116" t="s">
        <v>145</v>
      </c>
      <c r="D334" s="115" t="s">
        <v>1271</v>
      </c>
      <c r="E334" s="214">
        <v>3889253.0200000005</v>
      </c>
      <c r="F334" s="219">
        <v>70</v>
      </c>
      <c r="G334" s="219">
        <v>1</v>
      </c>
      <c r="J334" s="105"/>
      <c r="K334" s="99"/>
      <c r="L334" s="99"/>
      <c r="M334" s="108"/>
      <c r="N334" s="108"/>
      <c r="O334" s="108"/>
      <c r="P334" s="108"/>
      <c r="Q334" s="103"/>
    </row>
    <row r="335" spans="1:17">
      <c r="A335" s="101" t="s">
        <v>924</v>
      </c>
      <c r="B335" s="115" t="s">
        <v>1274</v>
      </c>
      <c r="C335" s="116" t="s">
        <v>127</v>
      </c>
      <c r="D335" s="115" t="s">
        <v>1273</v>
      </c>
      <c r="E335" s="214">
        <v>3523328.49</v>
      </c>
      <c r="F335" s="219">
        <v>35</v>
      </c>
      <c r="G335" s="219">
        <v>1</v>
      </c>
      <c r="J335" s="105"/>
      <c r="K335" s="99"/>
      <c r="L335" s="99"/>
      <c r="M335" s="108"/>
      <c r="N335" s="108"/>
      <c r="O335" s="108"/>
      <c r="P335" s="108"/>
      <c r="Q335" s="103"/>
    </row>
    <row r="336" spans="1:17">
      <c r="A336" s="101" t="s">
        <v>926</v>
      </c>
      <c r="B336" s="115" t="s">
        <v>1272</v>
      </c>
      <c r="C336" s="116" t="s">
        <v>111</v>
      </c>
      <c r="D336" s="115" t="s">
        <v>1273</v>
      </c>
      <c r="E336" s="214">
        <v>4969898.4499999993</v>
      </c>
      <c r="F336" s="219">
        <v>42</v>
      </c>
      <c r="G336" s="219">
        <v>1</v>
      </c>
      <c r="J336" s="105"/>
      <c r="K336" s="99"/>
      <c r="L336" s="99"/>
      <c r="M336" s="108"/>
      <c r="N336" s="108"/>
      <c r="O336" s="108"/>
      <c r="P336" s="108"/>
      <c r="Q336" s="103"/>
    </row>
    <row r="337" spans="1:17">
      <c r="A337" s="101" t="s">
        <v>928</v>
      </c>
      <c r="B337" s="115" t="s">
        <v>1272</v>
      </c>
      <c r="C337" s="116" t="s">
        <v>122</v>
      </c>
      <c r="D337" s="115" t="s">
        <v>1273</v>
      </c>
      <c r="E337" s="214">
        <v>3691653.63</v>
      </c>
      <c r="F337" s="219">
        <v>40</v>
      </c>
      <c r="G337" s="219">
        <v>1</v>
      </c>
      <c r="J337" s="105"/>
      <c r="K337" s="99"/>
      <c r="L337" s="99"/>
      <c r="M337" s="108"/>
      <c r="N337" s="108"/>
      <c r="O337" s="108"/>
      <c r="P337" s="108"/>
      <c r="Q337" s="103"/>
    </row>
    <row r="338" spans="1:17">
      <c r="A338" s="101" t="s">
        <v>930</v>
      </c>
      <c r="B338" s="115" t="s">
        <v>1274</v>
      </c>
      <c r="C338" s="116" t="s">
        <v>105</v>
      </c>
      <c r="D338" s="115" t="s">
        <v>1273</v>
      </c>
      <c r="E338" s="214">
        <v>1219274.6000000001</v>
      </c>
      <c r="F338" s="219">
        <v>20</v>
      </c>
      <c r="G338" s="219">
        <v>1</v>
      </c>
      <c r="J338" s="105"/>
      <c r="K338" s="99"/>
      <c r="L338" s="99"/>
      <c r="M338" s="108"/>
      <c r="N338" s="108"/>
      <c r="O338" s="108"/>
      <c r="P338" s="108"/>
      <c r="Q338" s="103"/>
    </row>
    <row r="339" spans="1:17">
      <c r="A339" s="101" t="s">
        <v>932</v>
      </c>
      <c r="B339" s="115" t="s">
        <v>1274</v>
      </c>
      <c r="C339" s="116" t="s">
        <v>169</v>
      </c>
      <c r="D339" s="115" t="s">
        <v>1271</v>
      </c>
      <c r="E339" s="214">
        <v>3343360.49</v>
      </c>
      <c r="F339" s="219">
        <v>68</v>
      </c>
      <c r="G339" s="219">
        <v>1</v>
      </c>
      <c r="J339" s="105"/>
      <c r="K339" s="99"/>
      <c r="L339" s="99"/>
      <c r="M339" s="108"/>
      <c r="N339" s="108"/>
      <c r="O339" s="108"/>
      <c r="P339" s="108"/>
      <c r="Q339" s="103"/>
    </row>
    <row r="340" spans="1:17">
      <c r="A340" s="101" t="s">
        <v>1310</v>
      </c>
      <c r="B340" s="115" t="s">
        <v>1272</v>
      </c>
      <c r="C340" s="116" t="s">
        <v>120</v>
      </c>
      <c r="D340" s="115" t="s">
        <v>1273</v>
      </c>
      <c r="E340" s="214">
        <v>5192479.8900000006</v>
      </c>
      <c r="F340" s="219">
        <v>44</v>
      </c>
      <c r="G340" s="219">
        <v>1</v>
      </c>
      <c r="J340" s="105"/>
      <c r="K340" s="99"/>
      <c r="L340" s="99"/>
      <c r="M340" s="108"/>
      <c r="N340" s="108"/>
      <c r="O340" s="108"/>
      <c r="P340" s="108"/>
      <c r="Q340" s="103"/>
    </row>
    <row r="341" spans="1:17">
      <c r="A341" s="101" t="s">
        <v>936</v>
      </c>
      <c r="B341" s="115" t="s">
        <v>1272</v>
      </c>
      <c r="C341" s="116" t="s">
        <v>155</v>
      </c>
      <c r="D341" s="115" t="s">
        <v>1271</v>
      </c>
      <c r="E341" s="214">
        <v>1311016.6499999999</v>
      </c>
      <c r="F341" s="219">
        <v>40</v>
      </c>
      <c r="G341" s="219">
        <v>1</v>
      </c>
      <c r="J341" s="105"/>
      <c r="K341" s="99"/>
      <c r="L341" s="99"/>
      <c r="M341" s="108"/>
      <c r="N341" s="108"/>
      <c r="O341" s="108"/>
      <c r="P341" s="108"/>
      <c r="Q341" s="103"/>
    </row>
    <row r="342" spans="1:17">
      <c r="A342" s="101" t="s">
        <v>938</v>
      </c>
      <c r="B342" s="115" t="s">
        <v>1272</v>
      </c>
      <c r="C342" s="116" t="s">
        <v>155</v>
      </c>
      <c r="D342" s="115" t="s">
        <v>1273</v>
      </c>
      <c r="E342" s="214">
        <v>11359539.559999999</v>
      </c>
      <c r="F342" s="219">
        <v>70</v>
      </c>
      <c r="G342" s="219">
        <v>1</v>
      </c>
      <c r="J342" s="105"/>
      <c r="K342" s="99"/>
      <c r="L342" s="99"/>
      <c r="M342" s="108"/>
      <c r="N342" s="108"/>
      <c r="O342" s="108"/>
      <c r="P342" s="108"/>
      <c r="Q342" s="103"/>
    </row>
    <row r="343" spans="1:17">
      <c r="A343" s="101" t="s">
        <v>940</v>
      </c>
      <c r="B343" s="115" t="s">
        <v>1272</v>
      </c>
      <c r="C343" s="116" t="s">
        <v>155</v>
      </c>
      <c r="D343" s="115" t="s">
        <v>1271</v>
      </c>
      <c r="E343" s="214">
        <v>4641949.2699999996</v>
      </c>
      <c r="F343" s="219">
        <v>75</v>
      </c>
      <c r="G343" s="219">
        <v>1</v>
      </c>
      <c r="J343" s="105"/>
      <c r="K343" s="99"/>
      <c r="L343" s="99"/>
      <c r="M343" s="108"/>
      <c r="N343" s="108"/>
      <c r="O343" s="108"/>
      <c r="P343" s="108"/>
      <c r="Q343" s="103"/>
    </row>
    <row r="344" spans="1:17">
      <c r="A344" s="101" t="s">
        <v>942</v>
      </c>
      <c r="B344" s="115" t="s">
        <v>1272</v>
      </c>
      <c r="C344" s="116" t="s">
        <v>124</v>
      </c>
      <c r="D344" s="115" t="s">
        <v>1273</v>
      </c>
      <c r="E344" s="214">
        <v>16153327.34</v>
      </c>
      <c r="F344" s="219">
        <v>103</v>
      </c>
      <c r="G344" s="219">
        <v>1</v>
      </c>
      <c r="J344" s="105"/>
      <c r="K344" s="99"/>
      <c r="L344" s="99"/>
      <c r="M344" s="108"/>
      <c r="N344" s="108"/>
      <c r="O344" s="108"/>
      <c r="P344" s="108"/>
      <c r="Q344" s="103"/>
    </row>
    <row r="345" spans="1:17">
      <c r="A345" s="101" t="s">
        <v>944</v>
      </c>
      <c r="B345" s="115" t="s">
        <v>1272</v>
      </c>
      <c r="C345" s="116" t="s">
        <v>135</v>
      </c>
      <c r="D345" s="115" t="s">
        <v>1273</v>
      </c>
      <c r="E345" s="214">
        <v>16206828.02</v>
      </c>
      <c r="F345" s="219">
        <v>80</v>
      </c>
      <c r="G345" s="219">
        <v>1</v>
      </c>
      <c r="J345" s="105"/>
      <c r="K345" s="99"/>
      <c r="L345" s="99"/>
      <c r="M345" s="108"/>
      <c r="N345" s="108"/>
      <c r="O345" s="108"/>
      <c r="P345" s="108"/>
      <c r="Q345" s="103"/>
    </row>
    <row r="346" spans="1:17">
      <c r="A346" s="101" t="s">
        <v>946</v>
      </c>
      <c r="B346" s="115" t="s">
        <v>1274</v>
      </c>
      <c r="C346" s="116" t="s">
        <v>139</v>
      </c>
      <c r="D346" s="115" t="s">
        <v>1273</v>
      </c>
      <c r="E346" s="214">
        <v>2835881.0700000003</v>
      </c>
      <c r="F346" s="219">
        <v>20</v>
      </c>
      <c r="G346" s="219">
        <v>1</v>
      </c>
      <c r="J346" s="105"/>
      <c r="K346" s="99"/>
      <c r="L346" s="99"/>
      <c r="M346" s="108"/>
      <c r="N346" s="108"/>
      <c r="O346" s="108"/>
      <c r="P346" s="108"/>
      <c r="Q346" s="103"/>
    </row>
    <row r="347" spans="1:17">
      <c r="A347" s="101" t="s">
        <v>948</v>
      </c>
      <c r="B347" s="115" t="s">
        <v>1274</v>
      </c>
      <c r="C347" s="116" t="s">
        <v>110</v>
      </c>
      <c r="D347" s="115" t="s">
        <v>1273</v>
      </c>
      <c r="E347" s="214">
        <v>2223184.0499999998</v>
      </c>
      <c r="F347" s="219">
        <v>30</v>
      </c>
      <c r="G347" s="219">
        <v>1</v>
      </c>
      <c r="J347" s="105"/>
      <c r="K347" s="99"/>
      <c r="L347" s="99"/>
      <c r="M347" s="108"/>
      <c r="N347" s="108"/>
      <c r="O347" s="108"/>
      <c r="P347" s="108"/>
      <c r="Q347" s="103"/>
    </row>
    <row r="348" spans="1:17">
      <c r="A348" s="101" t="s">
        <v>950</v>
      </c>
      <c r="B348" s="115" t="s">
        <v>1274</v>
      </c>
      <c r="C348" s="116" t="s">
        <v>29</v>
      </c>
      <c r="D348" s="115" t="s">
        <v>1273</v>
      </c>
      <c r="E348" s="214">
        <v>1353235.6400000001</v>
      </c>
      <c r="F348" s="219">
        <v>18</v>
      </c>
      <c r="G348" s="219">
        <v>1</v>
      </c>
      <c r="J348" s="105"/>
      <c r="K348" s="99"/>
      <c r="L348" s="99"/>
      <c r="M348" s="108"/>
      <c r="N348" s="108"/>
      <c r="O348" s="108"/>
      <c r="P348" s="108"/>
      <c r="Q348" s="103"/>
    </row>
    <row r="349" spans="1:17">
      <c r="A349" s="101" t="s">
        <v>952</v>
      </c>
      <c r="B349" s="115" t="s">
        <v>1272</v>
      </c>
      <c r="C349" s="116" t="s">
        <v>152</v>
      </c>
      <c r="D349" s="115" t="s">
        <v>1273</v>
      </c>
      <c r="E349" s="214">
        <v>7292518.0800000001</v>
      </c>
      <c r="F349" s="219">
        <v>60</v>
      </c>
      <c r="G349" s="219">
        <v>1</v>
      </c>
      <c r="J349" s="105"/>
      <c r="K349" s="99"/>
      <c r="L349" s="99"/>
      <c r="M349" s="108"/>
      <c r="N349" s="108"/>
      <c r="O349" s="108"/>
      <c r="P349" s="108"/>
      <c r="Q349" s="103"/>
    </row>
    <row r="350" spans="1:17">
      <c r="A350" s="101" t="s">
        <v>956</v>
      </c>
      <c r="B350" s="115" t="s">
        <v>1272</v>
      </c>
      <c r="C350" s="116" t="s">
        <v>135</v>
      </c>
      <c r="D350" s="115" t="s">
        <v>1273</v>
      </c>
      <c r="E350" s="214">
        <v>6096406.1799999997</v>
      </c>
      <c r="F350" s="219">
        <v>31</v>
      </c>
      <c r="G350" s="219">
        <v>1</v>
      </c>
      <c r="J350" s="105"/>
      <c r="K350" s="99"/>
      <c r="L350" s="99"/>
      <c r="M350" s="108"/>
      <c r="N350" s="108"/>
      <c r="O350" s="108"/>
      <c r="P350" s="108"/>
      <c r="Q350" s="103"/>
    </row>
    <row r="351" spans="1:17">
      <c r="A351" s="101" t="s">
        <v>958</v>
      </c>
      <c r="B351" s="115" t="s">
        <v>1272</v>
      </c>
      <c r="C351" s="116" t="s">
        <v>137</v>
      </c>
      <c r="D351" s="115" t="s">
        <v>1273</v>
      </c>
      <c r="E351" s="214">
        <v>9114566.0099999998</v>
      </c>
      <c r="F351" s="219">
        <v>80</v>
      </c>
      <c r="G351" s="219">
        <v>1</v>
      </c>
      <c r="J351" s="105"/>
      <c r="K351" s="99"/>
      <c r="L351" s="99"/>
      <c r="M351" s="108"/>
      <c r="N351" s="108"/>
      <c r="O351" s="108"/>
      <c r="P351" s="108"/>
      <c r="Q351" s="103"/>
    </row>
    <row r="352" spans="1:17">
      <c r="A352" s="101" t="s">
        <v>960</v>
      </c>
      <c r="B352" s="115" t="s">
        <v>1272</v>
      </c>
      <c r="C352" s="116" t="s">
        <v>39</v>
      </c>
      <c r="D352" s="115" t="s">
        <v>1271</v>
      </c>
      <c r="E352" s="214">
        <v>4275906.4800000004</v>
      </c>
      <c r="F352" s="219">
        <v>80</v>
      </c>
      <c r="G352" s="219">
        <v>1</v>
      </c>
      <c r="J352" s="105"/>
      <c r="K352" s="99"/>
      <c r="L352" s="99"/>
      <c r="M352" s="108"/>
      <c r="N352" s="108"/>
      <c r="O352" s="108"/>
      <c r="P352" s="108"/>
      <c r="Q352" s="103"/>
    </row>
    <row r="353" spans="1:17">
      <c r="A353" s="101" t="s">
        <v>962</v>
      </c>
      <c r="B353" s="115" t="s">
        <v>1274</v>
      </c>
      <c r="C353" s="116" t="s">
        <v>33</v>
      </c>
      <c r="D353" s="115" t="s">
        <v>1273</v>
      </c>
      <c r="E353" s="214">
        <v>1442753.24</v>
      </c>
      <c r="F353" s="219">
        <v>25</v>
      </c>
      <c r="G353" s="219">
        <v>1</v>
      </c>
      <c r="J353" s="105"/>
      <c r="K353" s="99"/>
      <c r="L353" s="99"/>
      <c r="M353" s="108"/>
      <c r="N353" s="108"/>
      <c r="O353" s="108"/>
      <c r="P353" s="108"/>
      <c r="Q353" s="103"/>
    </row>
    <row r="354" spans="1:17">
      <c r="A354" s="101" t="s">
        <v>964</v>
      </c>
      <c r="B354" s="115" t="s">
        <v>1272</v>
      </c>
      <c r="C354" s="116" t="s">
        <v>155</v>
      </c>
      <c r="D354" s="115" t="s">
        <v>1273</v>
      </c>
      <c r="E354" s="214">
        <v>2963801.0999999996</v>
      </c>
      <c r="F354" s="219">
        <v>30</v>
      </c>
      <c r="G354" s="219">
        <v>1</v>
      </c>
      <c r="J354" s="105"/>
      <c r="K354" s="99"/>
      <c r="L354" s="99"/>
      <c r="M354" s="108"/>
      <c r="N354" s="108"/>
      <c r="O354" s="108"/>
      <c r="P354" s="108"/>
      <c r="Q354" s="103"/>
    </row>
    <row r="355" spans="1:17">
      <c r="A355" s="101" t="s">
        <v>966</v>
      </c>
      <c r="B355" s="115" t="s">
        <v>1272</v>
      </c>
      <c r="C355" s="116" t="s">
        <v>155</v>
      </c>
      <c r="D355" s="115" t="s">
        <v>1271</v>
      </c>
      <c r="E355" s="214">
        <v>6022530.5600000005</v>
      </c>
      <c r="F355" s="219">
        <v>70</v>
      </c>
      <c r="G355" s="219">
        <v>1</v>
      </c>
      <c r="J355" s="105"/>
      <c r="K355" s="99"/>
      <c r="L355" s="99"/>
      <c r="M355" s="108"/>
      <c r="N355" s="108"/>
      <c r="O355" s="108"/>
      <c r="P355" s="108"/>
      <c r="Q355" s="103"/>
    </row>
    <row r="356" spans="1:17">
      <c r="A356" s="101" t="s">
        <v>970</v>
      </c>
      <c r="B356" s="115" t="s">
        <v>1274</v>
      </c>
      <c r="C356" s="116" t="s">
        <v>172</v>
      </c>
      <c r="D356" s="115" t="s">
        <v>1271</v>
      </c>
      <c r="E356" s="214">
        <v>5905261.1600000001</v>
      </c>
      <c r="F356" s="219">
        <v>80</v>
      </c>
      <c r="G356" s="219">
        <v>1</v>
      </c>
      <c r="J356" s="105"/>
      <c r="K356" s="99"/>
      <c r="L356" s="99"/>
      <c r="M356" s="108"/>
      <c r="N356" s="108"/>
      <c r="O356" s="108"/>
      <c r="P356" s="108"/>
      <c r="Q356" s="103"/>
    </row>
    <row r="357" spans="1:17">
      <c r="A357" s="101" t="s">
        <v>972</v>
      </c>
      <c r="B357" s="115" t="s">
        <v>1272</v>
      </c>
      <c r="C357" s="116" t="s">
        <v>175</v>
      </c>
      <c r="D357" s="115" t="s">
        <v>1273</v>
      </c>
      <c r="E357" s="214">
        <v>10978966.58</v>
      </c>
      <c r="F357" s="219">
        <v>70</v>
      </c>
      <c r="G357" s="219">
        <v>1</v>
      </c>
      <c r="J357" s="105"/>
      <c r="K357" s="99"/>
      <c r="L357" s="99"/>
      <c r="M357" s="108"/>
      <c r="N357" s="108"/>
      <c r="O357" s="108"/>
      <c r="P357" s="108"/>
      <c r="Q357" s="103"/>
    </row>
    <row r="358" spans="1:17">
      <c r="A358" s="101" t="s">
        <v>974</v>
      </c>
      <c r="B358" s="115" t="s">
        <v>1272</v>
      </c>
      <c r="C358" s="116" t="s">
        <v>137</v>
      </c>
      <c r="D358" s="115" t="s">
        <v>1273</v>
      </c>
      <c r="E358" s="214">
        <v>11216583.039999999</v>
      </c>
      <c r="F358" s="219">
        <v>82</v>
      </c>
      <c r="G358" s="219">
        <v>1</v>
      </c>
      <c r="J358" s="105"/>
      <c r="K358" s="99"/>
      <c r="L358" s="99"/>
      <c r="M358" s="108"/>
      <c r="N358" s="108"/>
      <c r="O358" s="108"/>
      <c r="P358" s="108"/>
      <c r="Q358" s="103"/>
    </row>
    <row r="359" spans="1:17">
      <c r="A359" s="101" t="s">
        <v>976</v>
      </c>
      <c r="B359" s="115" t="s">
        <v>1272</v>
      </c>
      <c r="C359" s="116" t="s">
        <v>128</v>
      </c>
      <c r="D359" s="115" t="s">
        <v>1273</v>
      </c>
      <c r="E359" s="214">
        <v>11346190.800000001</v>
      </c>
      <c r="F359" s="219">
        <v>76</v>
      </c>
      <c r="G359" s="219">
        <v>1</v>
      </c>
      <c r="J359" s="105"/>
      <c r="K359" s="99"/>
      <c r="L359" s="99"/>
      <c r="M359" s="108"/>
      <c r="N359" s="108"/>
      <c r="O359" s="108"/>
      <c r="P359" s="108"/>
      <c r="Q359" s="103"/>
    </row>
    <row r="360" spans="1:17">
      <c r="A360" s="101" t="s">
        <v>978</v>
      </c>
      <c r="B360" s="115" t="s">
        <v>1272</v>
      </c>
      <c r="C360" s="116" t="s">
        <v>109</v>
      </c>
      <c r="D360" s="115" t="s">
        <v>1273</v>
      </c>
      <c r="E360" s="214">
        <v>4680345.59</v>
      </c>
      <c r="F360" s="219">
        <v>40</v>
      </c>
      <c r="G360" s="219">
        <v>1</v>
      </c>
      <c r="J360" s="105"/>
      <c r="K360" s="99"/>
      <c r="L360" s="99"/>
      <c r="M360" s="108"/>
      <c r="N360" s="108"/>
      <c r="O360" s="108"/>
      <c r="P360" s="108"/>
      <c r="Q360" s="103"/>
    </row>
    <row r="361" spans="1:17">
      <c r="A361" s="101" t="s">
        <v>980</v>
      </c>
      <c r="B361" s="115" t="s">
        <v>1272</v>
      </c>
      <c r="C361" s="116" t="s">
        <v>122</v>
      </c>
      <c r="D361" s="115" t="s">
        <v>1273</v>
      </c>
      <c r="E361" s="214">
        <v>10169831.16</v>
      </c>
      <c r="F361" s="219">
        <v>65</v>
      </c>
      <c r="G361" s="219">
        <v>1</v>
      </c>
      <c r="J361" s="105"/>
      <c r="K361" s="99"/>
      <c r="L361" s="99"/>
      <c r="M361" s="108"/>
      <c r="N361" s="108"/>
      <c r="O361" s="108"/>
      <c r="P361" s="108"/>
      <c r="Q361" s="103"/>
    </row>
    <row r="362" spans="1:17">
      <c r="A362" s="101" t="s">
        <v>982</v>
      </c>
      <c r="B362" s="115" t="s">
        <v>1272</v>
      </c>
      <c r="C362" s="116" t="s">
        <v>122</v>
      </c>
      <c r="D362" s="115" t="s">
        <v>1271</v>
      </c>
      <c r="E362" s="214">
        <v>1579222.37</v>
      </c>
      <c r="F362" s="219">
        <v>25</v>
      </c>
      <c r="G362" s="219">
        <v>1</v>
      </c>
      <c r="J362" s="105"/>
      <c r="K362" s="99"/>
      <c r="L362" s="99"/>
      <c r="M362" s="108"/>
      <c r="N362" s="108"/>
      <c r="O362" s="108"/>
      <c r="P362" s="108"/>
      <c r="Q362" s="103"/>
    </row>
    <row r="363" spans="1:17">
      <c r="A363" s="101" t="s">
        <v>984</v>
      </c>
      <c r="B363" s="115" t="s">
        <v>1272</v>
      </c>
      <c r="C363" s="116" t="s">
        <v>122</v>
      </c>
      <c r="D363" s="115" t="s">
        <v>1273</v>
      </c>
      <c r="E363" s="214">
        <v>13998226.239999998</v>
      </c>
      <c r="F363" s="219">
        <v>94</v>
      </c>
      <c r="G363" s="219">
        <v>1</v>
      </c>
      <c r="J363" s="105"/>
      <c r="K363" s="99"/>
      <c r="L363" s="99"/>
      <c r="M363" s="108"/>
      <c r="N363" s="108"/>
      <c r="O363" s="108"/>
      <c r="P363" s="108"/>
      <c r="Q363" s="103"/>
    </row>
    <row r="364" spans="1:17">
      <c r="A364" s="101" t="s">
        <v>986</v>
      </c>
      <c r="B364" s="115" t="s">
        <v>1272</v>
      </c>
      <c r="C364" s="116" t="s">
        <v>133</v>
      </c>
      <c r="D364" s="115" t="s">
        <v>1271</v>
      </c>
      <c r="E364" s="214">
        <v>7531205.3799999999</v>
      </c>
      <c r="F364" s="219">
        <v>66</v>
      </c>
      <c r="G364" s="219">
        <v>1</v>
      </c>
      <c r="J364" s="105"/>
      <c r="K364" s="99"/>
      <c r="L364" s="99"/>
      <c r="M364" s="108"/>
      <c r="N364" s="108"/>
      <c r="O364" s="108"/>
      <c r="P364" s="108"/>
      <c r="Q364" s="103"/>
    </row>
    <row r="365" spans="1:17">
      <c r="A365" s="101" t="s">
        <v>988</v>
      </c>
      <c r="B365" s="115" t="s">
        <v>1274</v>
      </c>
      <c r="C365" s="116" t="s">
        <v>105</v>
      </c>
      <c r="D365" s="115" t="s">
        <v>1271</v>
      </c>
      <c r="E365" s="214">
        <v>5115164.3100000005</v>
      </c>
      <c r="F365" s="219">
        <v>50</v>
      </c>
      <c r="G365" s="219">
        <v>1</v>
      </c>
      <c r="J365" s="105"/>
      <c r="K365" s="99"/>
      <c r="L365" s="99"/>
      <c r="M365" s="108"/>
      <c r="N365" s="108"/>
      <c r="O365" s="108"/>
      <c r="P365" s="108"/>
      <c r="Q365" s="103"/>
    </row>
    <row r="366" spans="1:17">
      <c r="A366" s="101" t="s">
        <v>990</v>
      </c>
      <c r="B366" s="115" t="s">
        <v>1274</v>
      </c>
      <c r="C366" s="116" t="s">
        <v>149</v>
      </c>
      <c r="D366" s="115" t="s">
        <v>1271</v>
      </c>
      <c r="E366" s="214">
        <v>3707087.39</v>
      </c>
      <c r="F366" s="219">
        <v>50</v>
      </c>
      <c r="G366" s="219">
        <v>1</v>
      </c>
      <c r="J366" s="105"/>
      <c r="K366" s="99"/>
      <c r="L366" s="99"/>
      <c r="M366" s="108"/>
      <c r="N366" s="108"/>
      <c r="O366" s="108"/>
      <c r="P366" s="108"/>
      <c r="Q366" s="103"/>
    </row>
    <row r="367" spans="1:17">
      <c r="A367" s="101" t="s">
        <v>992</v>
      </c>
      <c r="B367" s="115" t="s">
        <v>1274</v>
      </c>
      <c r="C367" s="116" t="s">
        <v>127</v>
      </c>
      <c r="D367" s="115" t="s">
        <v>1273</v>
      </c>
      <c r="E367" s="214">
        <v>3853552.2699999996</v>
      </c>
      <c r="F367" s="219">
        <v>58</v>
      </c>
      <c r="G367" s="219">
        <v>1</v>
      </c>
      <c r="J367" s="105"/>
      <c r="K367" s="99"/>
      <c r="L367" s="99"/>
      <c r="M367" s="108"/>
      <c r="N367" s="108"/>
      <c r="O367" s="108"/>
      <c r="P367" s="108"/>
      <c r="Q367" s="103"/>
    </row>
    <row r="368" spans="1:17">
      <c r="A368" s="101" t="s">
        <v>994</v>
      </c>
      <c r="B368" s="115" t="s">
        <v>1272</v>
      </c>
      <c r="C368" s="116" t="s">
        <v>146</v>
      </c>
      <c r="D368" s="115" t="s">
        <v>1273</v>
      </c>
      <c r="E368" s="214">
        <v>3676345.52</v>
      </c>
      <c r="F368" s="219">
        <v>48</v>
      </c>
      <c r="G368" s="219">
        <v>1</v>
      </c>
      <c r="J368" s="105"/>
      <c r="K368" s="99"/>
      <c r="L368" s="99"/>
      <c r="M368" s="108"/>
      <c r="N368" s="108"/>
      <c r="O368" s="108"/>
      <c r="P368" s="108"/>
      <c r="Q368" s="103"/>
    </row>
    <row r="369" spans="1:17">
      <c r="A369" s="101" t="s">
        <v>996</v>
      </c>
      <c r="B369" s="115" t="s">
        <v>1274</v>
      </c>
      <c r="C369" s="116" t="s">
        <v>129</v>
      </c>
      <c r="D369" s="115" t="s">
        <v>1271</v>
      </c>
      <c r="E369" s="214">
        <v>6155638.0500000007</v>
      </c>
      <c r="F369" s="219">
        <v>77</v>
      </c>
      <c r="G369" s="219">
        <v>1</v>
      </c>
      <c r="J369" s="105"/>
      <c r="K369" s="99"/>
      <c r="L369" s="99"/>
      <c r="M369" s="108"/>
      <c r="N369" s="108"/>
      <c r="O369" s="108"/>
      <c r="P369" s="108"/>
      <c r="Q369" s="103"/>
    </row>
    <row r="370" spans="1:17">
      <c r="A370" s="101" t="s">
        <v>998</v>
      </c>
      <c r="B370" s="115" t="s">
        <v>1274</v>
      </c>
      <c r="C370" s="116" t="s">
        <v>130</v>
      </c>
      <c r="D370" s="115" t="s">
        <v>1271</v>
      </c>
      <c r="E370" s="214">
        <v>4610825.2200000007</v>
      </c>
      <c r="F370" s="219">
        <v>56</v>
      </c>
      <c r="G370" s="219">
        <v>1</v>
      </c>
      <c r="J370" s="105"/>
      <c r="K370" s="99"/>
      <c r="L370" s="99"/>
      <c r="M370" s="108"/>
      <c r="N370" s="108"/>
      <c r="O370" s="108"/>
      <c r="P370" s="108"/>
      <c r="Q370" s="103"/>
    </row>
    <row r="371" spans="1:17">
      <c r="A371" s="101" t="s">
        <v>1000</v>
      </c>
      <c r="B371" s="115" t="s">
        <v>1274</v>
      </c>
      <c r="C371" s="116" t="s">
        <v>130</v>
      </c>
      <c r="D371" s="115" t="s">
        <v>1271</v>
      </c>
      <c r="E371" s="214">
        <v>6659067.8099999996</v>
      </c>
      <c r="F371" s="219">
        <v>80</v>
      </c>
      <c r="G371" s="219">
        <v>1</v>
      </c>
      <c r="J371" s="105"/>
      <c r="K371" s="99"/>
      <c r="L371" s="99"/>
      <c r="M371" s="108"/>
      <c r="N371" s="108"/>
      <c r="O371" s="108"/>
      <c r="P371" s="108"/>
      <c r="Q371" s="103"/>
    </row>
    <row r="372" spans="1:17">
      <c r="A372" s="101" t="s">
        <v>1002</v>
      </c>
      <c r="B372" s="115" t="s">
        <v>1274</v>
      </c>
      <c r="C372" s="116" t="s">
        <v>130</v>
      </c>
      <c r="D372" s="115" t="s">
        <v>1273</v>
      </c>
      <c r="E372" s="214">
        <v>4575968.34</v>
      </c>
      <c r="F372" s="219">
        <v>43</v>
      </c>
      <c r="G372" s="219">
        <v>1</v>
      </c>
      <c r="J372" s="105"/>
      <c r="K372" s="99"/>
      <c r="L372" s="99"/>
      <c r="M372" s="108"/>
      <c r="N372" s="108"/>
      <c r="O372" s="108"/>
      <c r="P372" s="108"/>
      <c r="Q372" s="103"/>
    </row>
    <row r="373" spans="1:17">
      <c r="A373" s="101" t="s">
        <v>1004</v>
      </c>
      <c r="B373" s="115" t="s">
        <v>1272</v>
      </c>
      <c r="C373" s="116" t="s">
        <v>142</v>
      </c>
      <c r="D373" s="115" t="s">
        <v>1273</v>
      </c>
      <c r="E373" s="214">
        <v>14515825.079999998</v>
      </c>
      <c r="F373" s="219">
        <v>87</v>
      </c>
      <c r="G373" s="219">
        <v>1</v>
      </c>
      <c r="J373" s="105"/>
      <c r="K373" s="99"/>
      <c r="L373" s="99"/>
      <c r="M373" s="108"/>
      <c r="N373" s="108"/>
      <c r="O373" s="108"/>
      <c r="P373" s="108"/>
      <c r="Q373" s="103"/>
    </row>
    <row r="374" spans="1:17">
      <c r="A374" s="101" t="s">
        <v>1006</v>
      </c>
      <c r="B374" s="115" t="s">
        <v>1272</v>
      </c>
      <c r="C374" s="116" t="s">
        <v>106</v>
      </c>
      <c r="D374" s="115" t="s">
        <v>1273</v>
      </c>
      <c r="E374" s="214">
        <v>6977827.9500000002</v>
      </c>
      <c r="F374" s="219">
        <v>65</v>
      </c>
      <c r="G374" s="219">
        <v>1</v>
      </c>
      <c r="J374" s="105"/>
      <c r="K374" s="99"/>
      <c r="L374" s="99"/>
      <c r="M374" s="108"/>
      <c r="N374" s="108"/>
      <c r="O374" s="108"/>
      <c r="P374" s="108"/>
      <c r="Q374" s="103"/>
    </row>
    <row r="375" spans="1:17">
      <c r="A375" s="101" t="s">
        <v>1008</v>
      </c>
      <c r="B375" s="115" t="s">
        <v>1272</v>
      </c>
      <c r="C375" s="116" t="s">
        <v>152</v>
      </c>
      <c r="D375" s="115" t="s">
        <v>1273</v>
      </c>
      <c r="E375" s="214">
        <v>18610967.890000001</v>
      </c>
      <c r="F375" s="219">
        <v>96</v>
      </c>
      <c r="G375" s="219">
        <v>1</v>
      </c>
      <c r="J375" s="105"/>
      <c r="K375" s="99"/>
      <c r="L375" s="99"/>
      <c r="M375" s="108"/>
      <c r="N375" s="108"/>
      <c r="O375" s="108"/>
      <c r="P375" s="108"/>
      <c r="Q375" s="103"/>
    </row>
    <row r="376" spans="1:17">
      <c r="A376" s="101" t="s">
        <v>1010</v>
      </c>
      <c r="B376" s="115" t="s">
        <v>1272</v>
      </c>
      <c r="C376" s="116" t="s">
        <v>155</v>
      </c>
      <c r="D376" s="115" t="s">
        <v>1273</v>
      </c>
      <c r="E376" s="214">
        <v>5728945.3200000003</v>
      </c>
      <c r="F376" s="219">
        <v>39</v>
      </c>
      <c r="G376" s="219">
        <v>1</v>
      </c>
      <c r="J376" s="105"/>
      <c r="K376" s="99"/>
      <c r="L376" s="99"/>
      <c r="M376" s="108"/>
      <c r="N376" s="108"/>
      <c r="O376" s="108"/>
      <c r="P376" s="108"/>
      <c r="Q376" s="103"/>
    </row>
    <row r="377" spans="1:17">
      <c r="A377" s="101" t="s">
        <v>1012</v>
      </c>
      <c r="B377" s="115" t="s">
        <v>1272</v>
      </c>
      <c r="C377" s="116" t="s">
        <v>124</v>
      </c>
      <c r="D377" s="115" t="s">
        <v>1271</v>
      </c>
      <c r="E377" s="214">
        <v>980801.77</v>
      </c>
      <c r="F377" s="219">
        <v>40</v>
      </c>
      <c r="G377" s="219">
        <v>1</v>
      </c>
      <c r="J377" s="105"/>
      <c r="K377" s="99"/>
      <c r="L377" s="99"/>
      <c r="M377" s="108"/>
      <c r="N377" s="108"/>
      <c r="O377" s="108"/>
      <c r="P377" s="108"/>
      <c r="Q377" s="103"/>
    </row>
    <row r="378" spans="1:17">
      <c r="A378" s="101" t="s">
        <v>1014</v>
      </c>
      <c r="B378" s="115" t="s">
        <v>1274</v>
      </c>
      <c r="C378" s="116" t="s">
        <v>129</v>
      </c>
      <c r="D378" s="115" t="s">
        <v>1273</v>
      </c>
      <c r="E378" s="214">
        <v>9854973.1699999999</v>
      </c>
      <c r="F378" s="219">
        <v>67</v>
      </c>
      <c r="G378" s="219">
        <v>1</v>
      </c>
      <c r="J378" s="105"/>
      <c r="K378" s="99"/>
      <c r="L378" s="99"/>
      <c r="M378" s="108"/>
      <c r="N378" s="108"/>
      <c r="O378" s="108"/>
      <c r="P378" s="108"/>
      <c r="Q378" s="103"/>
    </row>
    <row r="379" spans="1:17">
      <c r="A379" s="101" t="s">
        <v>1016</v>
      </c>
      <c r="B379" s="115" t="s">
        <v>1274</v>
      </c>
      <c r="C379" s="116" t="s">
        <v>172</v>
      </c>
      <c r="D379" s="115" t="s">
        <v>1271</v>
      </c>
      <c r="E379" s="214">
        <v>5761282.8200000003</v>
      </c>
      <c r="F379" s="219">
        <v>74</v>
      </c>
      <c r="G379" s="219">
        <v>1</v>
      </c>
      <c r="J379" s="105"/>
      <c r="K379" s="99"/>
      <c r="L379" s="99"/>
      <c r="M379" s="108"/>
      <c r="N379" s="108"/>
      <c r="O379" s="108"/>
      <c r="P379" s="108"/>
      <c r="Q379" s="103"/>
    </row>
    <row r="380" spans="1:17">
      <c r="A380" s="101" t="s">
        <v>1279</v>
      </c>
      <c r="B380" s="115" t="s">
        <v>1274</v>
      </c>
      <c r="C380" s="116" t="s">
        <v>105</v>
      </c>
      <c r="D380" s="115" t="s">
        <v>1271</v>
      </c>
      <c r="E380" s="214">
        <v>2558386.2400000002</v>
      </c>
      <c r="F380" s="219">
        <v>35</v>
      </c>
      <c r="G380" s="219">
        <v>1</v>
      </c>
      <c r="J380" s="105"/>
      <c r="K380" s="99"/>
      <c r="L380" s="99"/>
      <c r="M380" s="108"/>
      <c r="N380" s="108"/>
      <c r="O380" s="108"/>
      <c r="P380" s="108"/>
      <c r="Q380" s="103"/>
    </row>
    <row r="381" spans="1:17">
      <c r="A381" s="101" t="s">
        <v>1020</v>
      </c>
      <c r="B381" s="115" t="s">
        <v>1272</v>
      </c>
      <c r="C381" s="116" t="s">
        <v>128</v>
      </c>
      <c r="D381" s="115" t="s">
        <v>1271</v>
      </c>
      <c r="E381" s="214">
        <v>5783672.9699999997</v>
      </c>
      <c r="F381" s="219">
        <v>55</v>
      </c>
      <c r="G381" s="219">
        <v>1</v>
      </c>
      <c r="J381" s="105"/>
      <c r="K381" s="99"/>
      <c r="L381" s="99"/>
      <c r="M381" s="108"/>
      <c r="N381" s="108"/>
      <c r="O381" s="108"/>
      <c r="P381" s="108"/>
      <c r="Q381" s="103"/>
    </row>
    <row r="382" spans="1:17">
      <c r="A382" s="101" t="s">
        <v>1024</v>
      </c>
      <c r="B382" s="115" t="s">
        <v>1272</v>
      </c>
      <c r="C382" s="116" t="s">
        <v>112</v>
      </c>
      <c r="D382" s="115" t="s">
        <v>1273</v>
      </c>
      <c r="E382" s="214">
        <v>10461298.109999999</v>
      </c>
      <c r="F382" s="219">
        <v>50</v>
      </c>
      <c r="G382" s="219">
        <v>1</v>
      </c>
      <c r="J382" s="105"/>
      <c r="K382" s="99"/>
      <c r="L382" s="99"/>
      <c r="M382" s="108"/>
      <c r="N382" s="108"/>
      <c r="O382" s="108"/>
      <c r="P382" s="108"/>
      <c r="Q382" s="103"/>
    </row>
    <row r="383" spans="1:17">
      <c r="A383" s="101" t="s">
        <v>1026</v>
      </c>
      <c r="B383" s="115" t="s">
        <v>1272</v>
      </c>
      <c r="C383" s="116" t="s">
        <v>112</v>
      </c>
      <c r="D383" s="115" t="s">
        <v>1271</v>
      </c>
      <c r="E383" s="214">
        <v>5167145.47</v>
      </c>
      <c r="F383" s="219">
        <v>35</v>
      </c>
      <c r="G383" s="219">
        <v>1</v>
      </c>
      <c r="J383" s="105"/>
      <c r="K383" s="99"/>
      <c r="L383" s="99"/>
      <c r="M383" s="108"/>
      <c r="N383" s="108"/>
      <c r="O383" s="108"/>
      <c r="P383" s="108"/>
      <c r="Q383" s="103"/>
    </row>
    <row r="384" spans="1:17">
      <c r="A384" s="101" t="s">
        <v>1028</v>
      </c>
      <c r="B384" s="115" t="s">
        <v>1274</v>
      </c>
      <c r="C384" s="116" t="s">
        <v>160</v>
      </c>
      <c r="D384" s="115" t="s">
        <v>1271</v>
      </c>
      <c r="E384" s="214">
        <v>1399036.97</v>
      </c>
      <c r="F384" s="219">
        <v>35</v>
      </c>
      <c r="G384" s="219">
        <v>1</v>
      </c>
      <c r="J384" s="105"/>
      <c r="K384" s="99"/>
      <c r="L384" s="99"/>
      <c r="M384" s="108"/>
      <c r="N384" s="108"/>
      <c r="O384" s="108"/>
      <c r="P384" s="108"/>
      <c r="Q384" s="103"/>
    </row>
    <row r="385" spans="1:17">
      <c r="A385" s="101" t="s">
        <v>1030</v>
      </c>
      <c r="B385" s="115" t="s">
        <v>1274</v>
      </c>
      <c r="C385" s="116" t="s">
        <v>129</v>
      </c>
      <c r="D385" s="115" t="s">
        <v>1271</v>
      </c>
      <c r="E385" s="214">
        <v>3361573.58</v>
      </c>
      <c r="F385" s="219">
        <v>35</v>
      </c>
      <c r="G385" s="219">
        <v>1</v>
      </c>
      <c r="J385" s="105"/>
      <c r="K385" s="99"/>
      <c r="L385" s="99"/>
      <c r="M385" s="108"/>
      <c r="N385" s="108"/>
      <c r="O385" s="108"/>
      <c r="P385" s="108"/>
      <c r="Q385" s="103"/>
    </row>
    <row r="386" spans="1:17">
      <c r="A386" s="101" t="s">
        <v>1034</v>
      </c>
      <c r="B386" s="115" t="s">
        <v>1272</v>
      </c>
      <c r="C386" s="116" t="s">
        <v>161</v>
      </c>
      <c r="D386" s="115" t="s">
        <v>1271</v>
      </c>
      <c r="E386" s="214">
        <v>2301889.7999999998</v>
      </c>
      <c r="F386" s="219">
        <v>53</v>
      </c>
      <c r="G386" s="219">
        <v>1</v>
      </c>
      <c r="J386" s="105"/>
      <c r="K386" s="99"/>
      <c r="L386" s="99"/>
      <c r="M386" s="108"/>
      <c r="N386" s="108"/>
      <c r="O386" s="108"/>
      <c r="P386" s="108"/>
      <c r="Q386" s="103"/>
    </row>
    <row r="387" spans="1:17">
      <c r="A387" s="101" t="s">
        <v>1036</v>
      </c>
      <c r="B387" s="115" t="s">
        <v>1272</v>
      </c>
      <c r="C387" s="116" t="s">
        <v>137</v>
      </c>
      <c r="D387" s="115" t="s">
        <v>1271</v>
      </c>
      <c r="E387" s="214">
        <v>2362503.44</v>
      </c>
      <c r="F387" s="219">
        <v>83</v>
      </c>
      <c r="G387" s="219">
        <v>1</v>
      </c>
      <c r="J387" s="105"/>
      <c r="K387" s="99"/>
      <c r="L387" s="99"/>
      <c r="M387" s="108"/>
      <c r="N387" s="108"/>
      <c r="O387" s="108"/>
      <c r="P387" s="108"/>
      <c r="Q387" s="103"/>
    </row>
    <row r="388" spans="1:17">
      <c r="A388" s="101" t="s">
        <v>1038</v>
      </c>
      <c r="B388" s="115" t="s">
        <v>1272</v>
      </c>
      <c r="C388" s="116" t="s">
        <v>138</v>
      </c>
      <c r="D388" s="115" t="s">
        <v>1273</v>
      </c>
      <c r="E388" s="214">
        <v>12008813.859999999</v>
      </c>
      <c r="F388" s="219">
        <v>85</v>
      </c>
      <c r="G388" s="219">
        <v>1</v>
      </c>
      <c r="J388" s="105"/>
      <c r="K388" s="99"/>
      <c r="L388" s="99"/>
      <c r="M388" s="108"/>
      <c r="N388" s="108"/>
      <c r="O388" s="108"/>
      <c r="P388" s="108"/>
      <c r="Q388" s="103"/>
    </row>
    <row r="389" spans="1:17">
      <c r="A389" s="101" t="s">
        <v>1042</v>
      </c>
      <c r="B389" s="115" t="s">
        <v>1274</v>
      </c>
      <c r="C389" s="116" t="s">
        <v>172</v>
      </c>
      <c r="D389" s="115" t="s">
        <v>1273</v>
      </c>
      <c r="E389" s="214">
        <v>2026016.75</v>
      </c>
      <c r="F389" s="219">
        <v>23</v>
      </c>
      <c r="G389" s="219">
        <v>1</v>
      </c>
      <c r="J389" s="105"/>
      <c r="K389" s="99"/>
      <c r="L389" s="99"/>
      <c r="M389" s="108"/>
      <c r="N389" s="108"/>
      <c r="O389" s="108"/>
      <c r="P389" s="108"/>
      <c r="Q389" s="103"/>
    </row>
    <row r="390" spans="1:17">
      <c r="A390" s="101" t="s">
        <v>1313</v>
      </c>
      <c r="B390" s="115" t="s">
        <v>1274</v>
      </c>
      <c r="C390" s="116" t="s">
        <v>103</v>
      </c>
      <c r="D390" s="115" t="s">
        <v>1273</v>
      </c>
      <c r="E390" s="214">
        <v>1050909.05</v>
      </c>
      <c r="F390" s="219">
        <v>18</v>
      </c>
      <c r="G390" s="219">
        <v>1</v>
      </c>
      <c r="J390" s="105"/>
      <c r="K390" s="99"/>
      <c r="L390" s="99"/>
      <c r="M390" s="108"/>
      <c r="N390" s="108"/>
      <c r="O390" s="108"/>
      <c r="P390" s="108"/>
      <c r="Q390" s="103"/>
    </row>
    <row r="391" spans="1:17">
      <c r="A391" s="101" t="s">
        <v>1044</v>
      </c>
      <c r="B391" s="115" t="s">
        <v>1274</v>
      </c>
      <c r="C391" s="116" t="s">
        <v>160</v>
      </c>
      <c r="D391" s="115" t="s">
        <v>1271</v>
      </c>
      <c r="E391" s="214">
        <v>2674469.2200000002</v>
      </c>
      <c r="F391" s="219">
        <v>45</v>
      </c>
      <c r="G391" s="219">
        <v>1</v>
      </c>
      <c r="J391" s="105"/>
      <c r="K391" s="99"/>
      <c r="L391" s="99"/>
      <c r="M391" s="108"/>
      <c r="N391" s="108"/>
      <c r="O391" s="108"/>
      <c r="P391" s="108"/>
      <c r="Q391" s="103"/>
    </row>
    <row r="392" spans="1:17">
      <c r="A392" s="101" t="s">
        <v>1046</v>
      </c>
      <c r="B392" s="115" t="s">
        <v>1272</v>
      </c>
      <c r="C392" s="116" t="s">
        <v>155</v>
      </c>
      <c r="D392" s="115" t="s">
        <v>1271</v>
      </c>
      <c r="E392" s="214">
        <v>9571446.4399999995</v>
      </c>
      <c r="F392" s="219">
        <v>85</v>
      </c>
      <c r="G392" s="219">
        <v>1</v>
      </c>
      <c r="J392" s="105"/>
      <c r="K392" s="99"/>
      <c r="L392" s="99"/>
      <c r="M392" s="108"/>
      <c r="N392" s="108"/>
      <c r="O392" s="108"/>
      <c r="P392" s="108"/>
      <c r="Q392" s="103"/>
    </row>
    <row r="393" spans="1:17">
      <c r="A393" s="101" t="s">
        <v>1048</v>
      </c>
      <c r="B393" s="115" t="s">
        <v>1274</v>
      </c>
      <c r="C393" s="116" t="s">
        <v>153</v>
      </c>
      <c r="D393" s="115" t="s">
        <v>1271</v>
      </c>
      <c r="E393" s="214">
        <v>3358198.0999999996</v>
      </c>
      <c r="F393" s="219">
        <v>40</v>
      </c>
      <c r="G393" s="219">
        <v>1</v>
      </c>
      <c r="J393" s="105"/>
      <c r="K393" s="99"/>
      <c r="L393" s="99"/>
      <c r="M393" s="108"/>
      <c r="N393" s="108"/>
      <c r="O393" s="108"/>
      <c r="P393" s="108"/>
      <c r="Q393" s="103"/>
    </row>
    <row r="394" spans="1:17">
      <c r="A394" s="101" t="s">
        <v>1050</v>
      </c>
      <c r="B394" s="115" t="s">
        <v>1272</v>
      </c>
      <c r="C394" s="116" t="s">
        <v>147</v>
      </c>
      <c r="D394" s="115" t="s">
        <v>1273</v>
      </c>
      <c r="E394" s="214">
        <v>8862930.7300000004</v>
      </c>
      <c r="F394" s="219">
        <v>62</v>
      </c>
      <c r="G394" s="219">
        <v>1</v>
      </c>
      <c r="J394" s="105"/>
      <c r="K394" s="99"/>
      <c r="L394" s="99"/>
      <c r="M394" s="108"/>
      <c r="N394" s="108"/>
      <c r="O394" s="108"/>
      <c r="P394" s="108"/>
      <c r="Q394" s="103"/>
    </row>
    <row r="395" spans="1:17">
      <c r="A395" s="101" t="s">
        <v>1052</v>
      </c>
      <c r="B395" s="115" t="s">
        <v>1272</v>
      </c>
      <c r="C395" s="116" t="s">
        <v>120</v>
      </c>
      <c r="D395" s="115" t="s">
        <v>1273</v>
      </c>
      <c r="E395" s="214">
        <v>11426171.300000001</v>
      </c>
      <c r="F395" s="219">
        <v>88</v>
      </c>
      <c r="G395" s="219">
        <v>1</v>
      </c>
      <c r="J395" s="105"/>
      <c r="K395" s="99"/>
      <c r="L395" s="99"/>
      <c r="M395" s="108"/>
      <c r="N395" s="108"/>
      <c r="O395" s="108"/>
      <c r="P395" s="108"/>
      <c r="Q395" s="103"/>
    </row>
    <row r="396" spans="1:17">
      <c r="A396" s="101" t="s">
        <v>1054</v>
      </c>
      <c r="B396" s="115" t="s">
        <v>1272</v>
      </c>
      <c r="C396" s="116" t="s">
        <v>135</v>
      </c>
      <c r="D396" s="115" t="s">
        <v>1271</v>
      </c>
      <c r="E396" s="214">
        <v>3778580.21</v>
      </c>
      <c r="F396" s="219">
        <v>78</v>
      </c>
      <c r="G396" s="219">
        <v>1</v>
      </c>
      <c r="J396" s="105"/>
      <c r="K396" s="99"/>
      <c r="L396" s="99"/>
      <c r="M396" s="108"/>
      <c r="N396" s="108"/>
      <c r="O396" s="108"/>
      <c r="P396" s="108"/>
      <c r="Q396" s="103"/>
    </row>
    <row r="397" spans="1:17">
      <c r="A397" s="101" t="s">
        <v>1056</v>
      </c>
      <c r="B397" s="115" t="s">
        <v>1272</v>
      </c>
      <c r="C397" s="116" t="s">
        <v>135</v>
      </c>
      <c r="D397" s="115" t="s">
        <v>1271</v>
      </c>
      <c r="E397" s="214">
        <v>1679003.85</v>
      </c>
      <c r="F397" s="219">
        <v>38</v>
      </c>
      <c r="G397" s="219">
        <v>1</v>
      </c>
      <c r="J397" s="105"/>
      <c r="K397" s="99"/>
      <c r="L397" s="99"/>
      <c r="M397" s="108"/>
      <c r="N397" s="108"/>
      <c r="O397" s="108"/>
      <c r="P397" s="108"/>
      <c r="Q397" s="103"/>
    </row>
    <row r="398" spans="1:17">
      <c r="A398" s="101" t="s">
        <v>1058</v>
      </c>
      <c r="B398" s="115" t="s">
        <v>1272</v>
      </c>
      <c r="C398" s="116" t="s">
        <v>135</v>
      </c>
      <c r="D398" s="115" t="s">
        <v>1271</v>
      </c>
      <c r="E398" s="214">
        <v>2242063.33</v>
      </c>
      <c r="F398" s="219">
        <v>40</v>
      </c>
      <c r="G398" s="219">
        <v>1</v>
      </c>
      <c r="J398" s="105"/>
      <c r="K398" s="99"/>
      <c r="L398" s="99"/>
      <c r="M398" s="108"/>
      <c r="N398" s="108"/>
      <c r="O398" s="108"/>
      <c r="P398" s="108"/>
      <c r="Q398" s="103"/>
    </row>
    <row r="399" spans="1:17">
      <c r="A399" s="101" t="s">
        <v>1060</v>
      </c>
      <c r="B399" s="115" t="s">
        <v>1272</v>
      </c>
      <c r="C399" s="116" t="s">
        <v>112</v>
      </c>
      <c r="D399" s="115" t="s">
        <v>1271</v>
      </c>
      <c r="E399" s="214">
        <v>605056.84</v>
      </c>
      <c r="F399" s="219">
        <v>18</v>
      </c>
      <c r="G399" s="219">
        <v>1</v>
      </c>
      <c r="J399" s="105"/>
      <c r="K399" s="99"/>
      <c r="L399" s="99"/>
      <c r="M399" s="108"/>
      <c r="N399" s="108"/>
      <c r="O399" s="108"/>
      <c r="P399" s="108"/>
      <c r="Q399" s="103"/>
    </row>
    <row r="400" spans="1:17">
      <c r="A400" s="101" t="s">
        <v>1062</v>
      </c>
      <c r="B400" s="115" t="s">
        <v>1272</v>
      </c>
      <c r="C400" s="116" t="s">
        <v>112</v>
      </c>
      <c r="D400" s="115" t="s">
        <v>1271</v>
      </c>
      <c r="E400" s="214">
        <v>3871602.1500000004</v>
      </c>
      <c r="F400" s="219">
        <v>60</v>
      </c>
      <c r="G400" s="219">
        <v>1</v>
      </c>
      <c r="J400" s="105"/>
      <c r="K400" s="99"/>
      <c r="L400" s="99"/>
      <c r="M400" s="108"/>
      <c r="N400" s="108"/>
      <c r="O400" s="108"/>
      <c r="P400" s="108"/>
      <c r="Q400" s="103"/>
    </row>
    <row r="401" spans="1:17">
      <c r="A401" s="101" t="s">
        <v>1064</v>
      </c>
      <c r="B401" s="115" t="s">
        <v>1274</v>
      </c>
      <c r="C401" s="116" t="s">
        <v>169</v>
      </c>
      <c r="D401" s="115" t="s">
        <v>1271</v>
      </c>
      <c r="E401" s="214">
        <v>2005839.05</v>
      </c>
      <c r="F401" s="219">
        <v>42</v>
      </c>
      <c r="G401" s="219">
        <v>1</v>
      </c>
      <c r="J401" s="105"/>
      <c r="K401" s="99"/>
      <c r="L401" s="99"/>
      <c r="M401" s="108"/>
      <c r="N401" s="108"/>
      <c r="O401" s="108"/>
      <c r="P401" s="108"/>
      <c r="Q401" s="103"/>
    </row>
    <row r="402" spans="1:17">
      <c r="A402" s="101" t="s">
        <v>1066</v>
      </c>
      <c r="B402" s="115" t="s">
        <v>1274</v>
      </c>
      <c r="C402" s="116" t="s">
        <v>169</v>
      </c>
      <c r="D402" s="115" t="s">
        <v>1271</v>
      </c>
      <c r="E402" s="214">
        <v>1628286.47</v>
      </c>
      <c r="F402" s="219">
        <v>35</v>
      </c>
      <c r="G402" s="219">
        <v>1</v>
      </c>
      <c r="J402" s="105"/>
      <c r="K402" s="99"/>
      <c r="L402" s="99"/>
      <c r="M402" s="108"/>
      <c r="N402" s="108"/>
      <c r="O402" s="108"/>
      <c r="P402" s="108"/>
      <c r="Q402" s="103"/>
    </row>
    <row r="403" spans="1:17">
      <c r="A403" s="101" t="s">
        <v>1068</v>
      </c>
      <c r="B403" s="115" t="s">
        <v>1272</v>
      </c>
      <c r="C403" s="116" t="s">
        <v>135</v>
      </c>
      <c r="D403" s="115" t="s">
        <v>1273</v>
      </c>
      <c r="E403" s="214">
        <v>10659283.809999999</v>
      </c>
      <c r="F403" s="219">
        <v>75</v>
      </c>
      <c r="G403" s="219">
        <v>1</v>
      </c>
      <c r="J403" s="105"/>
      <c r="K403" s="99"/>
      <c r="L403" s="99"/>
      <c r="M403" s="108"/>
      <c r="N403" s="108"/>
      <c r="O403" s="108"/>
      <c r="P403" s="108"/>
      <c r="Q403" s="103"/>
    </row>
    <row r="404" spans="1:17">
      <c r="A404" s="101" t="s">
        <v>1070</v>
      </c>
      <c r="B404" s="115" t="s">
        <v>1272</v>
      </c>
      <c r="C404" s="116" t="s">
        <v>147</v>
      </c>
      <c r="D404" s="115" t="s">
        <v>1271</v>
      </c>
      <c r="E404" s="214">
        <v>8370505.8899999997</v>
      </c>
      <c r="F404" s="219">
        <v>80</v>
      </c>
      <c r="G404" s="219">
        <v>1</v>
      </c>
      <c r="J404" s="105"/>
      <c r="K404" s="99"/>
      <c r="L404" s="99"/>
      <c r="M404" s="108"/>
      <c r="N404" s="108"/>
      <c r="O404" s="108"/>
      <c r="P404" s="108"/>
      <c r="Q404" s="103"/>
    </row>
    <row r="405" spans="1:17">
      <c r="A405" s="101" t="s">
        <v>1072</v>
      </c>
      <c r="B405" s="115" t="s">
        <v>1272</v>
      </c>
      <c r="C405" s="116" t="s">
        <v>39</v>
      </c>
      <c r="D405" s="115" t="s">
        <v>1273</v>
      </c>
      <c r="E405" s="214">
        <v>5383691.75</v>
      </c>
      <c r="F405" s="219">
        <v>49</v>
      </c>
      <c r="G405" s="219">
        <v>1</v>
      </c>
      <c r="J405" s="105"/>
      <c r="K405" s="99"/>
      <c r="L405" s="99"/>
      <c r="M405" s="108"/>
      <c r="N405" s="108"/>
      <c r="O405" s="108"/>
      <c r="P405" s="108"/>
      <c r="Q405" s="103"/>
    </row>
    <row r="406" spans="1:17">
      <c r="A406" s="101" t="s">
        <v>1074</v>
      </c>
      <c r="B406" s="115" t="s">
        <v>1272</v>
      </c>
      <c r="C406" s="116" t="s">
        <v>112</v>
      </c>
      <c r="D406" s="115" t="s">
        <v>1273</v>
      </c>
      <c r="E406" s="214">
        <v>16032095.260000002</v>
      </c>
      <c r="F406" s="219">
        <v>105</v>
      </c>
      <c r="G406" s="219">
        <v>1</v>
      </c>
      <c r="J406" s="105"/>
      <c r="K406" s="99"/>
      <c r="L406" s="99"/>
      <c r="M406" s="108"/>
      <c r="N406" s="108"/>
      <c r="O406" s="108"/>
      <c r="P406" s="108"/>
      <c r="Q406" s="103"/>
    </row>
    <row r="407" spans="1:17">
      <c r="A407" s="101" t="s">
        <v>1076</v>
      </c>
      <c r="B407" s="115" t="s">
        <v>1272</v>
      </c>
      <c r="C407" s="116" t="s">
        <v>142</v>
      </c>
      <c r="D407" s="115" t="s">
        <v>1273</v>
      </c>
      <c r="E407" s="214">
        <v>7336546.1600000001</v>
      </c>
      <c r="F407" s="219">
        <v>50</v>
      </c>
      <c r="G407" s="219">
        <v>1</v>
      </c>
      <c r="J407" s="105"/>
      <c r="K407" s="99"/>
      <c r="L407" s="99"/>
      <c r="M407" s="108"/>
      <c r="N407" s="108"/>
      <c r="O407" s="108"/>
      <c r="P407" s="108"/>
      <c r="Q407" s="103"/>
    </row>
    <row r="408" spans="1:17">
      <c r="A408" s="101" t="s">
        <v>1314</v>
      </c>
      <c r="B408" s="115" t="s">
        <v>1272</v>
      </c>
      <c r="C408" s="116" t="s">
        <v>177</v>
      </c>
      <c r="D408" s="115" t="s">
        <v>1273</v>
      </c>
      <c r="E408" s="214">
        <v>840777.56</v>
      </c>
      <c r="F408" s="219">
        <v>30</v>
      </c>
      <c r="G408" s="219">
        <v>1</v>
      </c>
      <c r="J408" s="105"/>
      <c r="K408" s="99"/>
      <c r="L408" s="99"/>
      <c r="M408" s="108"/>
      <c r="N408" s="108"/>
      <c r="O408" s="108"/>
      <c r="P408" s="108"/>
      <c r="Q408" s="103"/>
    </row>
    <row r="409" spans="1:17">
      <c r="A409" s="101" t="s">
        <v>1078</v>
      </c>
      <c r="B409" s="115" t="s">
        <v>1272</v>
      </c>
      <c r="C409" s="116" t="s">
        <v>161</v>
      </c>
      <c r="D409" s="115" t="s">
        <v>1273</v>
      </c>
      <c r="E409" s="214">
        <v>2462436.59</v>
      </c>
      <c r="F409" s="219">
        <v>29</v>
      </c>
      <c r="G409" s="219">
        <v>1</v>
      </c>
      <c r="J409" s="105"/>
      <c r="K409" s="99"/>
      <c r="L409" s="99"/>
      <c r="M409" s="108"/>
      <c r="N409" s="108"/>
      <c r="O409" s="108"/>
      <c r="P409" s="108"/>
      <c r="Q409" s="103"/>
    </row>
    <row r="410" spans="1:17">
      <c r="A410" s="101" t="s">
        <v>1080</v>
      </c>
      <c r="B410" s="115" t="s">
        <v>1272</v>
      </c>
      <c r="C410" s="116" t="s">
        <v>161</v>
      </c>
      <c r="D410" s="115" t="s">
        <v>1273</v>
      </c>
      <c r="E410" s="214">
        <v>2417962.33</v>
      </c>
      <c r="F410" s="219">
        <v>32</v>
      </c>
      <c r="G410" s="219">
        <v>1</v>
      </c>
      <c r="J410" s="105"/>
      <c r="K410" s="99"/>
      <c r="L410" s="99"/>
      <c r="M410" s="108"/>
      <c r="N410" s="108"/>
      <c r="O410" s="108"/>
      <c r="P410" s="108"/>
      <c r="Q410" s="103"/>
    </row>
    <row r="411" spans="1:17">
      <c r="A411" s="101" t="s">
        <v>1082</v>
      </c>
      <c r="B411" s="115" t="s">
        <v>1274</v>
      </c>
      <c r="C411" s="116" t="s">
        <v>127</v>
      </c>
      <c r="D411" s="115" t="s">
        <v>1271</v>
      </c>
      <c r="E411" s="214">
        <v>2665467.3099999996</v>
      </c>
      <c r="F411" s="219">
        <v>60</v>
      </c>
      <c r="G411" s="219">
        <v>1</v>
      </c>
      <c r="J411" s="105"/>
      <c r="K411" s="99"/>
      <c r="L411" s="99"/>
      <c r="M411" s="108"/>
      <c r="N411" s="108"/>
      <c r="O411" s="108"/>
      <c r="P411" s="108"/>
      <c r="Q411" s="103"/>
    </row>
    <row r="412" spans="1:17">
      <c r="A412" s="101" t="s">
        <v>1084</v>
      </c>
      <c r="B412" s="115" t="s">
        <v>1274</v>
      </c>
      <c r="C412" s="116" t="s">
        <v>127</v>
      </c>
      <c r="D412" s="115" t="s">
        <v>1271</v>
      </c>
      <c r="E412" s="214">
        <v>3063047.6799999997</v>
      </c>
      <c r="F412" s="219">
        <v>40</v>
      </c>
      <c r="G412" s="219">
        <v>1</v>
      </c>
      <c r="J412" s="105"/>
      <c r="K412" s="99"/>
      <c r="L412" s="99"/>
      <c r="M412" s="108"/>
      <c r="N412" s="108"/>
      <c r="O412" s="108"/>
      <c r="P412" s="108"/>
      <c r="Q412" s="103"/>
    </row>
    <row r="413" spans="1:17">
      <c r="A413" s="101" t="s">
        <v>1086</v>
      </c>
      <c r="B413" s="115" t="s">
        <v>1272</v>
      </c>
      <c r="C413" s="116" t="s">
        <v>137</v>
      </c>
      <c r="D413" s="115" t="s">
        <v>1273</v>
      </c>
      <c r="E413" s="214">
        <v>3260781.1399999997</v>
      </c>
      <c r="F413" s="219">
        <v>50</v>
      </c>
      <c r="G413" s="219">
        <v>1</v>
      </c>
      <c r="J413" s="105"/>
      <c r="K413" s="99"/>
      <c r="L413" s="99"/>
      <c r="M413" s="108"/>
      <c r="N413" s="108"/>
      <c r="O413" s="108"/>
      <c r="P413" s="108"/>
      <c r="Q413" s="103"/>
    </row>
    <row r="414" spans="1:17">
      <c r="A414" s="101" t="s">
        <v>1088</v>
      </c>
      <c r="B414" s="115" t="s">
        <v>1272</v>
      </c>
      <c r="C414" s="116" t="s">
        <v>175</v>
      </c>
      <c r="D414" s="115" t="s">
        <v>1271</v>
      </c>
      <c r="E414" s="214">
        <v>7059472.5099999998</v>
      </c>
      <c r="F414" s="219">
        <v>80</v>
      </c>
      <c r="G414" s="219">
        <v>1</v>
      </c>
      <c r="J414" s="105"/>
      <c r="K414" s="99"/>
      <c r="L414" s="99"/>
      <c r="M414" s="108"/>
      <c r="N414" s="108"/>
      <c r="O414" s="108"/>
      <c r="P414" s="108"/>
      <c r="Q414" s="103"/>
    </row>
    <row r="415" spans="1:17">
      <c r="A415" s="101" t="s">
        <v>1090</v>
      </c>
      <c r="B415" s="115" t="s">
        <v>1272</v>
      </c>
      <c r="C415" s="116" t="s">
        <v>154</v>
      </c>
      <c r="D415" s="115" t="s">
        <v>1271</v>
      </c>
      <c r="E415" s="214">
        <v>1792172.4300000002</v>
      </c>
      <c r="F415" s="219">
        <v>43</v>
      </c>
      <c r="G415" s="219">
        <v>1</v>
      </c>
      <c r="J415" s="105"/>
      <c r="K415" s="99"/>
      <c r="L415" s="99"/>
      <c r="M415" s="108"/>
      <c r="N415" s="108"/>
      <c r="O415" s="108"/>
      <c r="P415" s="108"/>
      <c r="Q415" s="103"/>
    </row>
    <row r="416" spans="1:17">
      <c r="A416" s="101" t="s">
        <v>1434</v>
      </c>
      <c r="B416" s="115" t="s">
        <v>1272</v>
      </c>
      <c r="C416" s="116" t="s">
        <v>124</v>
      </c>
      <c r="D416" s="115" t="s">
        <v>1273</v>
      </c>
      <c r="E416" s="214">
        <v>5877188.0199999996</v>
      </c>
      <c r="F416" s="219">
        <v>50</v>
      </c>
      <c r="G416" s="219">
        <v>1</v>
      </c>
      <c r="J416" s="105"/>
      <c r="K416" s="99"/>
      <c r="L416" s="99"/>
      <c r="M416" s="108"/>
      <c r="N416" s="108"/>
      <c r="O416" s="108"/>
      <c r="P416" s="108"/>
      <c r="Q416" s="103"/>
    </row>
    <row r="417" spans="1:17">
      <c r="A417" s="101" t="s">
        <v>1092</v>
      </c>
      <c r="B417" s="115" t="s">
        <v>1272</v>
      </c>
      <c r="C417" s="116" t="s">
        <v>38</v>
      </c>
      <c r="D417" s="115" t="s">
        <v>1273</v>
      </c>
      <c r="E417" s="214">
        <v>15101464.890000001</v>
      </c>
      <c r="F417" s="219">
        <v>90</v>
      </c>
      <c r="G417" s="219">
        <v>1</v>
      </c>
      <c r="J417" s="105"/>
      <c r="K417" s="99"/>
      <c r="L417" s="99"/>
      <c r="M417" s="108"/>
      <c r="N417" s="108"/>
      <c r="O417" s="108"/>
      <c r="P417" s="108"/>
      <c r="Q417" s="103"/>
    </row>
    <row r="418" spans="1:17">
      <c r="A418" s="101" t="s">
        <v>1435</v>
      </c>
      <c r="B418" s="115" t="s">
        <v>1272</v>
      </c>
      <c r="C418" s="116" t="s">
        <v>151</v>
      </c>
      <c r="D418" s="115" t="s">
        <v>1273</v>
      </c>
      <c r="E418" s="214">
        <v>5957951.2599999998</v>
      </c>
      <c r="F418" s="219">
        <v>35</v>
      </c>
      <c r="G418" s="219">
        <v>1</v>
      </c>
      <c r="J418" s="105"/>
      <c r="K418" s="99"/>
      <c r="L418" s="99"/>
      <c r="M418" s="108"/>
      <c r="N418" s="108"/>
      <c r="O418" s="108"/>
      <c r="P418" s="108"/>
      <c r="Q418" s="103"/>
    </row>
    <row r="419" spans="1:17">
      <c r="A419" s="101" t="s">
        <v>1094</v>
      </c>
      <c r="B419" s="115" t="s">
        <v>1272</v>
      </c>
      <c r="C419" s="116" t="s">
        <v>147</v>
      </c>
      <c r="D419" s="115" t="s">
        <v>1271</v>
      </c>
      <c r="E419" s="214">
        <v>8902298.6600000001</v>
      </c>
      <c r="F419" s="219">
        <v>66</v>
      </c>
      <c r="G419" s="219">
        <v>1</v>
      </c>
      <c r="J419" s="105"/>
      <c r="K419" s="99"/>
      <c r="L419" s="99"/>
      <c r="M419" s="108"/>
      <c r="N419" s="108"/>
      <c r="O419" s="108"/>
      <c r="P419" s="108"/>
      <c r="Q419" s="103"/>
    </row>
    <row r="420" spans="1:17">
      <c r="A420" s="101" t="s">
        <v>1096</v>
      </c>
      <c r="B420" s="115" t="s">
        <v>1272</v>
      </c>
      <c r="C420" s="116" t="s">
        <v>145</v>
      </c>
      <c r="D420" s="115" t="s">
        <v>1271</v>
      </c>
      <c r="E420" s="214">
        <v>4030646.1100000003</v>
      </c>
      <c r="F420" s="219">
        <v>90</v>
      </c>
      <c r="G420" s="219">
        <v>1</v>
      </c>
      <c r="J420" s="105"/>
      <c r="K420" s="99"/>
      <c r="L420" s="99"/>
      <c r="M420" s="108"/>
      <c r="N420" s="108"/>
      <c r="O420" s="108"/>
      <c r="P420" s="108"/>
      <c r="Q420" s="103"/>
    </row>
    <row r="421" spans="1:17">
      <c r="A421" s="101" t="s">
        <v>1099</v>
      </c>
      <c r="B421" s="115" t="s">
        <v>1272</v>
      </c>
      <c r="C421" s="116" t="s">
        <v>137</v>
      </c>
      <c r="D421" s="115" t="s">
        <v>1273</v>
      </c>
      <c r="E421" s="214">
        <v>8389808.8599999994</v>
      </c>
      <c r="F421" s="219">
        <v>53</v>
      </c>
      <c r="G421" s="219">
        <v>1</v>
      </c>
      <c r="J421" s="105"/>
      <c r="K421" s="99"/>
      <c r="L421" s="99"/>
      <c r="M421" s="108"/>
      <c r="N421" s="108"/>
      <c r="O421" s="108"/>
      <c r="P421" s="108"/>
      <c r="Q421" s="103"/>
    </row>
    <row r="422" spans="1:17">
      <c r="A422" s="101" t="s">
        <v>1101</v>
      </c>
      <c r="B422" s="115" t="s">
        <v>1272</v>
      </c>
      <c r="C422" s="116" t="s">
        <v>124</v>
      </c>
      <c r="D422" s="115" t="s">
        <v>1271</v>
      </c>
      <c r="E422" s="214">
        <v>1752877.08</v>
      </c>
      <c r="F422" s="219">
        <v>32</v>
      </c>
      <c r="G422" s="219">
        <v>1</v>
      </c>
      <c r="J422" s="105"/>
      <c r="K422" s="99"/>
      <c r="L422" s="99"/>
      <c r="M422" s="108"/>
      <c r="N422" s="108"/>
      <c r="O422" s="108"/>
      <c r="P422" s="108"/>
      <c r="Q422" s="103"/>
    </row>
    <row r="423" spans="1:17">
      <c r="A423" s="101" t="s">
        <v>1103</v>
      </c>
      <c r="B423" s="115" t="s">
        <v>1274</v>
      </c>
      <c r="C423" s="116" t="s">
        <v>127</v>
      </c>
      <c r="D423" s="115" t="s">
        <v>1273</v>
      </c>
      <c r="E423" s="214">
        <v>1919643.31</v>
      </c>
      <c r="F423" s="219">
        <v>25</v>
      </c>
      <c r="G423" s="219">
        <v>1</v>
      </c>
      <c r="J423" s="105"/>
      <c r="K423" s="99"/>
      <c r="L423" s="99"/>
      <c r="M423" s="108"/>
      <c r="N423" s="108"/>
      <c r="O423" s="108"/>
      <c r="P423" s="108"/>
      <c r="Q423" s="103"/>
    </row>
    <row r="424" spans="1:17">
      <c r="A424" s="101" t="s">
        <v>1105</v>
      </c>
      <c r="B424" s="115" t="s">
        <v>1272</v>
      </c>
      <c r="C424" s="116" t="s">
        <v>177</v>
      </c>
      <c r="D424" s="115" t="s">
        <v>1271</v>
      </c>
      <c r="E424" s="214">
        <v>5058735.7799999993</v>
      </c>
      <c r="F424" s="219">
        <v>71</v>
      </c>
      <c r="G424" s="219">
        <v>1</v>
      </c>
      <c r="J424" s="105"/>
      <c r="K424" s="99"/>
      <c r="L424" s="99"/>
      <c r="M424" s="108"/>
      <c r="N424" s="108"/>
      <c r="O424" s="108"/>
      <c r="P424" s="108"/>
      <c r="Q424" s="103"/>
    </row>
    <row r="425" spans="1:17">
      <c r="A425" s="101" t="s">
        <v>1107</v>
      </c>
      <c r="B425" s="115" t="s">
        <v>1272</v>
      </c>
      <c r="C425" s="116" t="s">
        <v>128</v>
      </c>
      <c r="D425" s="115" t="s">
        <v>1273</v>
      </c>
      <c r="E425" s="214">
        <v>2158801.96</v>
      </c>
      <c r="F425" s="219">
        <v>30</v>
      </c>
      <c r="G425" s="219">
        <v>1</v>
      </c>
      <c r="J425" s="105"/>
      <c r="K425" s="99"/>
      <c r="L425" s="99"/>
      <c r="M425" s="108"/>
      <c r="N425" s="108"/>
      <c r="O425" s="108"/>
      <c r="P425" s="108"/>
      <c r="Q425" s="103"/>
    </row>
    <row r="426" spans="1:17">
      <c r="A426" s="101" t="s">
        <v>1109</v>
      </c>
      <c r="B426" s="115" t="s">
        <v>1274</v>
      </c>
      <c r="C426" s="116" t="s">
        <v>121</v>
      </c>
      <c r="D426" s="115" t="s">
        <v>1271</v>
      </c>
      <c r="E426" s="214">
        <v>3035909.85</v>
      </c>
      <c r="F426" s="219">
        <v>41</v>
      </c>
      <c r="G426" s="219">
        <v>1</v>
      </c>
      <c r="J426" s="105"/>
      <c r="K426" s="99"/>
      <c r="L426" s="99"/>
      <c r="M426" s="108"/>
      <c r="N426" s="108"/>
      <c r="O426" s="108"/>
      <c r="P426" s="108"/>
      <c r="Q426" s="103"/>
    </row>
    <row r="427" spans="1:17">
      <c r="A427" s="101" t="s">
        <v>1111</v>
      </c>
      <c r="B427" s="115" t="s">
        <v>1272</v>
      </c>
      <c r="C427" s="116" t="s">
        <v>146</v>
      </c>
      <c r="D427" s="115" t="s">
        <v>1271</v>
      </c>
      <c r="E427" s="214">
        <v>8154902.29</v>
      </c>
      <c r="F427" s="219">
        <v>56</v>
      </c>
      <c r="G427" s="219">
        <v>1</v>
      </c>
      <c r="J427" s="105"/>
      <c r="K427" s="99"/>
      <c r="L427" s="99"/>
      <c r="M427" s="108"/>
      <c r="N427" s="108"/>
      <c r="O427" s="108"/>
      <c r="P427" s="108"/>
      <c r="Q427" s="103"/>
    </row>
    <row r="428" spans="1:17">
      <c r="A428" s="101" t="s">
        <v>1113</v>
      </c>
      <c r="B428" s="115" t="s">
        <v>1274</v>
      </c>
      <c r="C428" s="116" t="s">
        <v>105</v>
      </c>
      <c r="D428" s="115" t="s">
        <v>1273</v>
      </c>
      <c r="E428" s="214">
        <v>669977.55000000005</v>
      </c>
      <c r="F428" s="219">
        <v>0</v>
      </c>
      <c r="G428" s="219">
        <v>1</v>
      </c>
      <c r="J428" s="105"/>
      <c r="K428" s="99"/>
      <c r="L428" s="99"/>
      <c r="M428" s="108"/>
      <c r="N428" s="108"/>
      <c r="O428" s="108"/>
      <c r="P428" s="108"/>
      <c r="Q428" s="103"/>
    </row>
    <row r="429" spans="1:17">
      <c r="A429" s="101" t="s">
        <v>1115</v>
      </c>
      <c r="B429" s="115" t="s">
        <v>1272</v>
      </c>
      <c r="C429" s="116" t="s">
        <v>152</v>
      </c>
      <c r="D429" s="115" t="s">
        <v>1271</v>
      </c>
      <c r="E429" s="214">
        <v>2683764.58</v>
      </c>
      <c r="F429" s="219">
        <v>50</v>
      </c>
      <c r="G429" s="219">
        <v>1</v>
      </c>
      <c r="J429" s="105"/>
      <c r="K429" s="99"/>
      <c r="L429" s="99"/>
      <c r="M429" s="108"/>
      <c r="N429" s="108"/>
      <c r="O429" s="108"/>
      <c r="P429" s="108"/>
      <c r="Q429" s="103"/>
    </row>
    <row r="430" spans="1:17">
      <c r="A430" s="101" t="s">
        <v>1117</v>
      </c>
      <c r="B430" s="115" t="s">
        <v>1274</v>
      </c>
      <c r="C430" s="116" t="s">
        <v>171</v>
      </c>
      <c r="D430" s="115" t="s">
        <v>1273</v>
      </c>
      <c r="E430" s="214">
        <v>2031562.21</v>
      </c>
      <c r="F430" s="219">
        <v>35</v>
      </c>
      <c r="G430" s="219">
        <v>1</v>
      </c>
      <c r="J430" s="105"/>
      <c r="K430" s="99"/>
      <c r="L430" s="99"/>
      <c r="M430" s="108"/>
      <c r="N430" s="108"/>
      <c r="O430" s="108"/>
      <c r="P430" s="108"/>
      <c r="Q430" s="103"/>
    </row>
    <row r="431" spans="1:17">
      <c r="A431" s="101" t="s">
        <v>1119</v>
      </c>
      <c r="B431" s="115" t="s">
        <v>1274</v>
      </c>
      <c r="C431" s="116" t="s">
        <v>121</v>
      </c>
      <c r="D431" s="115" t="s">
        <v>1271</v>
      </c>
      <c r="E431" s="214">
        <v>870171.57</v>
      </c>
      <c r="F431" s="219">
        <v>24</v>
      </c>
      <c r="G431" s="219">
        <v>1</v>
      </c>
      <c r="J431" s="105"/>
      <c r="K431" s="99"/>
      <c r="L431" s="99"/>
      <c r="M431" s="108"/>
      <c r="N431" s="108"/>
      <c r="O431" s="108"/>
      <c r="P431" s="108"/>
      <c r="Q431" s="103"/>
    </row>
    <row r="432" spans="1:17">
      <c r="A432" s="101" t="s">
        <v>1121</v>
      </c>
      <c r="B432" s="115" t="s">
        <v>1272</v>
      </c>
      <c r="C432" s="116" t="s">
        <v>175</v>
      </c>
      <c r="D432" s="115" t="s">
        <v>1273</v>
      </c>
      <c r="E432" s="214">
        <v>5721099.4900000002</v>
      </c>
      <c r="F432" s="219">
        <v>50</v>
      </c>
      <c r="G432" s="219">
        <v>1</v>
      </c>
      <c r="J432" s="105"/>
      <c r="K432" s="99"/>
      <c r="L432" s="99"/>
      <c r="M432" s="108"/>
      <c r="N432" s="108"/>
      <c r="O432" s="108"/>
      <c r="P432" s="108"/>
      <c r="Q432" s="103"/>
    </row>
    <row r="433" spans="1:17">
      <c r="A433" s="101" t="s">
        <v>1123</v>
      </c>
      <c r="B433" s="115" t="s">
        <v>1272</v>
      </c>
      <c r="C433" s="116" t="s">
        <v>39</v>
      </c>
      <c r="D433" s="115" t="s">
        <v>1273</v>
      </c>
      <c r="E433" s="214">
        <v>4592106.53</v>
      </c>
      <c r="F433" s="219">
        <v>40</v>
      </c>
      <c r="G433" s="219">
        <v>1</v>
      </c>
      <c r="J433" s="105"/>
      <c r="K433" s="99"/>
      <c r="L433" s="99"/>
      <c r="M433" s="108"/>
      <c r="N433" s="108"/>
      <c r="O433" s="108"/>
      <c r="P433" s="108"/>
      <c r="Q433" s="103"/>
    </row>
    <row r="434" spans="1:17">
      <c r="A434" s="101" t="s">
        <v>1125</v>
      </c>
      <c r="B434" s="115" t="s">
        <v>1272</v>
      </c>
      <c r="C434" s="116" t="s">
        <v>161</v>
      </c>
      <c r="D434" s="115" t="s">
        <v>1271</v>
      </c>
      <c r="E434" s="214">
        <v>4981412.46</v>
      </c>
      <c r="F434" s="219">
        <v>57</v>
      </c>
      <c r="G434" s="219">
        <v>1</v>
      </c>
      <c r="J434" s="105"/>
      <c r="K434" s="99"/>
      <c r="L434" s="99"/>
      <c r="M434" s="108"/>
      <c r="N434" s="108"/>
      <c r="O434" s="108"/>
      <c r="P434" s="108"/>
      <c r="Q434" s="103"/>
    </row>
    <row r="435" spans="1:17">
      <c r="A435" s="101" t="s">
        <v>1127</v>
      </c>
      <c r="B435" s="115" t="s">
        <v>1274</v>
      </c>
      <c r="C435" s="116" t="s">
        <v>125</v>
      </c>
      <c r="D435" s="115" t="s">
        <v>1273</v>
      </c>
      <c r="E435" s="214">
        <v>2461588.8200000003</v>
      </c>
      <c r="F435" s="219">
        <v>32</v>
      </c>
      <c r="G435" s="219">
        <v>1</v>
      </c>
      <c r="J435" s="105"/>
      <c r="K435" s="99"/>
      <c r="L435" s="99"/>
      <c r="M435" s="108"/>
      <c r="N435" s="108"/>
      <c r="O435" s="108"/>
      <c r="P435" s="108"/>
      <c r="Q435" s="103"/>
    </row>
    <row r="436" spans="1:17">
      <c r="A436" s="101" t="s">
        <v>1436</v>
      </c>
      <c r="B436" s="115" t="s">
        <v>1272</v>
      </c>
      <c r="C436" s="116" t="s">
        <v>39</v>
      </c>
      <c r="D436" s="115" t="s">
        <v>1273</v>
      </c>
      <c r="E436" s="214">
        <v>2918584.79</v>
      </c>
      <c r="F436" s="219">
        <v>31</v>
      </c>
      <c r="G436" s="219">
        <v>1</v>
      </c>
      <c r="J436" s="105"/>
      <c r="K436" s="99"/>
      <c r="L436" s="99"/>
      <c r="M436" s="108"/>
      <c r="N436" s="108"/>
      <c r="O436" s="108"/>
      <c r="P436" s="108"/>
      <c r="Q436" s="103"/>
    </row>
    <row r="437" spans="1:17">
      <c r="A437" s="101" t="s">
        <v>1129</v>
      </c>
      <c r="B437" s="115" t="s">
        <v>1272</v>
      </c>
      <c r="C437" s="116" t="s">
        <v>138</v>
      </c>
      <c r="D437" s="115" t="s">
        <v>1273</v>
      </c>
      <c r="E437" s="214">
        <v>6386064</v>
      </c>
      <c r="F437" s="219">
        <v>69</v>
      </c>
      <c r="G437" s="219">
        <v>1</v>
      </c>
      <c r="J437" s="105"/>
      <c r="K437" s="99"/>
      <c r="L437" s="99"/>
      <c r="M437" s="108"/>
      <c r="N437" s="108"/>
      <c r="O437" s="108"/>
      <c r="P437" s="108"/>
      <c r="Q437" s="103"/>
    </row>
    <row r="438" spans="1:17">
      <c r="A438" s="101" t="s">
        <v>1131</v>
      </c>
      <c r="B438" s="115" t="s">
        <v>1274</v>
      </c>
      <c r="C438" s="116" t="s">
        <v>172</v>
      </c>
      <c r="D438" s="115" t="s">
        <v>1271</v>
      </c>
      <c r="E438" s="214">
        <v>1622396.76</v>
      </c>
      <c r="F438" s="219">
        <v>36</v>
      </c>
      <c r="G438" s="219">
        <v>1</v>
      </c>
      <c r="J438" s="105"/>
      <c r="K438" s="99"/>
      <c r="L438" s="99"/>
      <c r="M438" s="108"/>
      <c r="N438" s="108"/>
      <c r="O438" s="108"/>
      <c r="P438" s="108"/>
      <c r="Q438" s="103"/>
    </row>
    <row r="439" spans="1:17">
      <c r="A439" s="101" t="s">
        <v>1133</v>
      </c>
      <c r="B439" s="115" t="s">
        <v>1272</v>
      </c>
      <c r="C439" s="116" t="s">
        <v>116</v>
      </c>
      <c r="D439" s="115" t="s">
        <v>1273</v>
      </c>
      <c r="E439" s="214">
        <v>11292298.620000001</v>
      </c>
      <c r="F439" s="219">
        <v>52</v>
      </c>
      <c r="G439" s="219">
        <v>1</v>
      </c>
      <c r="J439" s="105"/>
      <c r="K439" s="99"/>
      <c r="L439" s="99"/>
      <c r="M439" s="108"/>
      <c r="N439" s="108"/>
      <c r="O439" s="108"/>
      <c r="P439" s="108"/>
      <c r="Q439" s="103"/>
    </row>
    <row r="440" spans="1:17">
      <c r="A440" s="101" t="s">
        <v>1135</v>
      </c>
      <c r="B440" s="115" t="s">
        <v>1272</v>
      </c>
      <c r="C440" s="116" t="s">
        <v>175</v>
      </c>
      <c r="D440" s="115" t="s">
        <v>1271</v>
      </c>
      <c r="E440" s="214">
        <v>10833073.050000001</v>
      </c>
      <c r="F440" s="219">
        <v>85</v>
      </c>
      <c r="G440" s="219">
        <v>1</v>
      </c>
      <c r="J440" s="105"/>
      <c r="K440" s="99"/>
      <c r="L440" s="99"/>
      <c r="M440" s="108"/>
      <c r="N440" s="108"/>
      <c r="O440" s="108"/>
      <c r="P440" s="108"/>
      <c r="Q440" s="103"/>
    </row>
    <row r="441" spans="1:17">
      <c r="A441" s="101" t="s">
        <v>1137</v>
      </c>
      <c r="B441" s="115" t="s">
        <v>1272</v>
      </c>
      <c r="C441" s="116" t="s">
        <v>151</v>
      </c>
      <c r="D441" s="115" t="s">
        <v>1273</v>
      </c>
      <c r="E441" s="214">
        <v>8211338.25</v>
      </c>
      <c r="F441" s="219">
        <v>55</v>
      </c>
      <c r="G441" s="219">
        <v>1</v>
      </c>
      <c r="J441" s="105"/>
      <c r="K441" s="99"/>
      <c r="L441" s="99"/>
      <c r="M441" s="108"/>
      <c r="N441" s="108"/>
      <c r="O441" s="108"/>
      <c r="P441" s="108"/>
      <c r="Q441" s="103"/>
    </row>
    <row r="442" spans="1:17">
      <c r="A442" s="101" t="s">
        <v>1139</v>
      </c>
      <c r="B442" s="115" t="s">
        <v>1272</v>
      </c>
      <c r="C442" s="116" t="s">
        <v>133</v>
      </c>
      <c r="D442" s="115" t="s">
        <v>1271</v>
      </c>
      <c r="E442" s="214">
        <v>3185869.41</v>
      </c>
      <c r="F442" s="219">
        <v>60</v>
      </c>
      <c r="G442" s="219">
        <v>1</v>
      </c>
      <c r="J442" s="105"/>
      <c r="K442" s="99"/>
      <c r="L442" s="99"/>
      <c r="M442" s="108"/>
      <c r="N442" s="108"/>
      <c r="O442" s="108"/>
      <c r="P442" s="108"/>
      <c r="Q442" s="103"/>
    </row>
    <row r="443" spans="1:17">
      <c r="A443" s="101" t="s">
        <v>1141</v>
      </c>
      <c r="B443" s="115" t="s">
        <v>1274</v>
      </c>
      <c r="C443" s="116" t="s">
        <v>172</v>
      </c>
      <c r="D443" s="115" t="s">
        <v>1271</v>
      </c>
      <c r="E443" s="214">
        <v>2528457.12</v>
      </c>
      <c r="F443" s="219">
        <v>37</v>
      </c>
      <c r="G443" s="219">
        <v>1</v>
      </c>
      <c r="J443" s="105"/>
      <c r="K443" s="99"/>
      <c r="L443" s="99"/>
      <c r="M443" s="108"/>
      <c r="N443" s="108"/>
      <c r="O443" s="108"/>
      <c r="P443" s="108"/>
      <c r="Q443" s="103"/>
    </row>
    <row r="444" spans="1:17">
      <c r="A444" s="101" t="s">
        <v>1143</v>
      </c>
      <c r="B444" s="115" t="s">
        <v>1272</v>
      </c>
      <c r="C444" s="116" t="s">
        <v>116</v>
      </c>
      <c r="D444" s="115" t="s">
        <v>1271</v>
      </c>
      <c r="E444" s="214">
        <v>2230277.5300000003</v>
      </c>
      <c r="F444" s="219">
        <v>46</v>
      </c>
      <c r="G444" s="219">
        <v>1</v>
      </c>
      <c r="J444" s="105"/>
      <c r="K444" s="99"/>
      <c r="L444" s="99"/>
      <c r="M444" s="108"/>
      <c r="N444" s="108"/>
      <c r="O444" s="108"/>
      <c r="P444" s="108"/>
      <c r="Q444" s="103"/>
    </row>
    <row r="445" spans="1:17">
      <c r="A445" s="101" t="s">
        <v>1147</v>
      </c>
      <c r="B445" s="115" t="s">
        <v>1274</v>
      </c>
      <c r="C445" s="116" t="s">
        <v>168</v>
      </c>
      <c r="D445" s="115" t="s">
        <v>1273</v>
      </c>
      <c r="E445" s="214">
        <v>2454786.9500000002</v>
      </c>
      <c r="F445" s="219">
        <v>45</v>
      </c>
      <c r="G445" s="219">
        <v>1</v>
      </c>
      <c r="J445" s="105"/>
      <c r="K445" s="99"/>
      <c r="L445" s="99"/>
      <c r="M445" s="108"/>
      <c r="N445" s="108"/>
      <c r="O445" s="108"/>
      <c r="P445" s="108"/>
      <c r="Q445" s="103"/>
    </row>
    <row r="446" spans="1:17">
      <c r="A446" s="101" t="s">
        <v>1149</v>
      </c>
      <c r="B446" s="115" t="s">
        <v>1272</v>
      </c>
      <c r="C446" s="116" t="s">
        <v>111</v>
      </c>
      <c r="D446" s="115" t="s">
        <v>1273</v>
      </c>
      <c r="E446" s="214">
        <v>2222850.91</v>
      </c>
      <c r="F446" s="219">
        <v>33</v>
      </c>
      <c r="G446" s="219">
        <v>1</v>
      </c>
      <c r="J446" s="105"/>
      <c r="K446" s="99"/>
      <c r="L446" s="99"/>
      <c r="M446" s="108"/>
      <c r="N446" s="108"/>
      <c r="O446" s="108"/>
      <c r="P446" s="108"/>
      <c r="Q446" s="103"/>
    </row>
    <row r="447" spans="1:17">
      <c r="A447" s="101" t="s">
        <v>1153</v>
      </c>
      <c r="B447" s="115" t="s">
        <v>1274</v>
      </c>
      <c r="C447" s="116" t="s">
        <v>139</v>
      </c>
      <c r="D447" s="115" t="s">
        <v>1271</v>
      </c>
      <c r="E447" s="214">
        <v>5572191.6500000004</v>
      </c>
      <c r="F447" s="219">
        <v>59</v>
      </c>
      <c r="G447" s="219">
        <v>1</v>
      </c>
      <c r="J447" s="105"/>
      <c r="K447" s="99"/>
      <c r="L447" s="99"/>
      <c r="M447" s="108"/>
      <c r="N447" s="108"/>
      <c r="O447" s="108"/>
      <c r="P447" s="108"/>
      <c r="Q447" s="103"/>
    </row>
    <row r="448" spans="1:17">
      <c r="A448" s="101" t="s">
        <v>1155</v>
      </c>
      <c r="B448" s="115" t="s">
        <v>1274</v>
      </c>
      <c r="C448" s="116" t="s">
        <v>139</v>
      </c>
      <c r="D448" s="115" t="s">
        <v>1271</v>
      </c>
      <c r="E448" s="214">
        <v>2543469.09</v>
      </c>
      <c r="F448" s="219">
        <v>37</v>
      </c>
      <c r="G448" s="219">
        <v>1</v>
      </c>
      <c r="J448" s="105"/>
      <c r="K448" s="99"/>
      <c r="L448" s="99"/>
      <c r="M448" s="108"/>
      <c r="N448" s="108"/>
      <c r="O448" s="108"/>
      <c r="P448" s="108"/>
      <c r="Q448" s="103"/>
    </row>
    <row r="449" spans="1:17">
      <c r="A449" s="101" t="s">
        <v>1157</v>
      </c>
      <c r="B449" s="115" t="s">
        <v>1272</v>
      </c>
      <c r="C449" s="116" t="s">
        <v>116</v>
      </c>
      <c r="D449" s="115" t="s">
        <v>1271</v>
      </c>
      <c r="E449" s="214">
        <v>8192712.3100000005</v>
      </c>
      <c r="F449" s="219">
        <v>75</v>
      </c>
      <c r="G449" s="219">
        <v>1</v>
      </c>
      <c r="J449" s="105"/>
      <c r="K449" s="99"/>
      <c r="L449" s="99"/>
      <c r="M449" s="108"/>
      <c r="N449" s="108"/>
      <c r="O449" s="108"/>
      <c r="P449" s="108"/>
      <c r="Q449" s="103"/>
    </row>
    <row r="450" spans="1:17">
      <c r="A450" s="101" t="s">
        <v>1159</v>
      </c>
      <c r="B450" s="115" t="s">
        <v>1272</v>
      </c>
      <c r="C450" s="116" t="s">
        <v>137</v>
      </c>
      <c r="D450" s="115" t="s">
        <v>1273</v>
      </c>
      <c r="E450" s="214">
        <v>5574570.2999999998</v>
      </c>
      <c r="F450" s="219">
        <v>47</v>
      </c>
      <c r="G450" s="219">
        <v>1</v>
      </c>
      <c r="J450" s="105"/>
      <c r="K450" s="99"/>
      <c r="L450" s="99"/>
      <c r="M450" s="108"/>
      <c r="N450" s="108"/>
      <c r="O450" s="108"/>
      <c r="P450" s="108"/>
      <c r="Q450" s="103"/>
    </row>
    <row r="451" spans="1:17">
      <c r="A451" s="101" t="s">
        <v>1161</v>
      </c>
      <c r="B451" s="115" t="s">
        <v>1274</v>
      </c>
      <c r="C451" s="116" t="s">
        <v>118</v>
      </c>
      <c r="D451" s="115" t="s">
        <v>1273</v>
      </c>
      <c r="E451" s="214">
        <v>2616533.62</v>
      </c>
      <c r="F451" s="219">
        <v>22</v>
      </c>
      <c r="G451" s="219">
        <v>1</v>
      </c>
      <c r="J451" s="105"/>
      <c r="K451" s="99"/>
      <c r="L451" s="99"/>
      <c r="M451" s="108"/>
      <c r="N451" s="108"/>
      <c r="O451" s="108"/>
      <c r="P451" s="108"/>
      <c r="Q451" s="103"/>
    </row>
    <row r="452" spans="1:17">
      <c r="A452" s="101" t="s">
        <v>1163</v>
      </c>
      <c r="B452" s="115" t="s">
        <v>1272</v>
      </c>
      <c r="C452" s="116" t="s">
        <v>177</v>
      </c>
      <c r="D452" s="115" t="s">
        <v>1271</v>
      </c>
      <c r="E452" s="214">
        <v>1652880.06</v>
      </c>
      <c r="F452" s="219">
        <v>30</v>
      </c>
      <c r="G452" s="219">
        <v>1</v>
      </c>
      <c r="J452" s="105"/>
      <c r="K452" s="99"/>
      <c r="L452" s="99"/>
      <c r="M452" s="108"/>
      <c r="N452" s="108"/>
      <c r="O452" s="108"/>
      <c r="P452" s="108"/>
      <c r="Q452" s="103"/>
    </row>
    <row r="453" spans="1:17">
      <c r="A453" s="101" t="s">
        <v>1419</v>
      </c>
      <c r="B453" s="115" t="s">
        <v>1274</v>
      </c>
      <c r="C453" s="116" t="s">
        <v>129</v>
      </c>
      <c r="D453" s="115" t="s">
        <v>1273</v>
      </c>
      <c r="E453" s="214">
        <v>1811358.65</v>
      </c>
      <c r="F453" s="219">
        <v>29</v>
      </c>
      <c r="G453" s="219">
        <v>1</v>
      </c>
      <c r="J453" s="105"/>
      <c r="K453" s="99"/>
      <c r="L453" s="99"/>
      <c r="M453" s="108"/>
      <c r="N453" s="108"/>
      <c r="O453" s="108"/>
      <c r="P453" s="108"/>
      <c r="Q453" s="103"/>
    </row>
    <row r="454" spans="1:17">
      <c r="A454" s="101" t="s">
        <v>1167</v>
      </c>
      <c r="B454" s="115" t="s">
        <v>1272</v>
      </c>
      <c r="C454" s="116" t="s">
        <v>151</v>
      </c>
      <c r="D454" s="115" t="s">
        <v>1271</v>
      </c>
      <c r="E454" s="214">
        <v>10755519.75</v>
      </c>
      <c r="F454" s="219">
        <v>75</v>
      </c>
      <c r="G454" s="219">
        <v>1</v>
      </c>
      <c r="J454" s="105"/>
      <c r="K454" s="99"/>
      <c r="L454" s="99"/>
      <c r="M454" s="108"/>
      <c r="N454" s="108"/>
      <c r="O454" s="108"/>
      <c r="P454" s="108"/>
      <c r="Q454" s="103"/>
    </row>
    <row r="455" spans="1:17">
      <c r="A455" s="101" t="s">
        <v>1169</v>
      </c>
      <c r="B455" s="115" t="s">
        <v>1272</v>
      </c>
      <c r="C455" s="116" t="s">
        <v>142</v>
      </c>
      <c r="D455" s="115" t="s">
        <v>1271</v>
      </c>
      <c r="E455" s="214">
        <v>6532545.9700000007</v>
      </c>
      <c r="F455" s="219">
        <v>90</v>
      </c>
      <c r="G455" s="219">
        <v>1</v>
      </c>
      <c r="J455" s="105"/>
      <c r="K455" s="99"/>
      <c r="L455" s="99"/>
      <c r="M455" s="108"/>
      <c r="N455" s="108"/>
      <c r="O455" s="108"/>
      <c r="P455" s="108"/>
      <c r="Q455" s="103"/>
    </row>
    <row r="456" spans="1:17">
      <c r="A456" s="101" t="s">
        <v>1171</v>
      </c>
      <c r="B456" s="115" t="s">
        <v>1274</v>
      </c>
      <c r="C456" s="116" t="s">
        <v>130</v>
      </c>
      <c r="D456" s="115" t="s">
        <v>1273</v>
      </c>
      <c r="E456" s="214">
        <v>6528215.4299999997</v>
      </c>
      <c r="F456" s="219">
        <v>40</v>
      </c>
      <c r="G456" s="219">
        <v>1</v>
      </c>
      <c r="J456" s="105"/>
      <c r="K456" s="99"/>
      <c r="L456" s="99"/>
      <c r="M456" s="108"/>
      <c r="N456" s="108"/>
      <c r="O456" s="108"/>
      <c r="P456" s="108"/>
      <c r="Q456" s="103"/>
    </row>
    <row r="457" spans="1:17">
      <c r="A457" s="101" t="s">
        <v>1177</v>
      </c>
      <c r="B457" s="115" t="s">
        <v>1274</v>
      </c>
      <c r="C457" s="116" t="s">
        <v>141</v>
      </c>
      <c r="D457" s="115" t="s">
        <v>1273</v>
      </c>
      <c r="E457" s="214">
        <v>5585371.5300000003</v>
      </c>
      <c r="F457" s="219">
        <v>50</v>
      </c>
      <c r="G457" s="219">
        <v>1</v>
      </c>
      <c r="J457" s="105"/>
      <c r="K457" s="99"/>
      <c r="L457" s="99"/>
      <c r="M457" s="108"/>
      <c r="N457" s="108"/>
      <c r="O457" s="108"/>
      <c r="P457" s="108"/>
      <c r="Q457" s="103"/>
    </row>
    <row r="458" spans="1:17">
      <c r="A458" s="101" t="s">
        <v>1179</v>
      </c>
      <c r="B458" s="115" t="s">
        <v>1272</v>
      </c>
      <c r="C458" s="116" t="s">
        <v>161</v>
      </c>
      <c r="D458" s="115" t="s">
        <v>1273</v>
      </c>
      <c r="E458" s="214">
        <v>2211863.27</v>
      </c>
      <c r="F458" s="219">
        <v>31</v>
      </c>
      <c r="G458" s="219">
        <v>1</v>
      </c>
      <c r="J458" s="105"/>
      <c r="K458" s="99"/>
      <c r="L458" s="99"/>
      <c r="M458" s="108"/>
      <c r="N458" s="108"/>
      <c r="O458" s="108"/>
      <c r="P458" s="108"/>
      <c r="Q458" s="103"/>
    </row>
    <row r="459" spans="1:17">
      <c r="A459" s="101" t="s">
        <v>1181</v>
      </c>
      <c r="B459" s="115" t="s">
        <v>1272</v>
      </c>
      <c r="C459" s="116" t="s">
        <v>151</v>
      </c>
      <c r="D459" s="115" t="s">
        <v>1273</v>
      </c>
      <c r="E459" s="214">
        <v>10421974.189999999</v>
      </c>
      <c r="F459" s="219">
        <v>78</v>
      </c>
      <c r="G459" s="219">
        <v>1</v>
      </c>
      <c r="J459" s="105"/>
      <c r="K459" s="99"/>
      <c r="L459" s="99"/>
      <c r="M459" s="108"/>
      <c r="N459" s="108"/>
      <c r="O459" s="108"/>
      <c r="P459" s="108"/>
      <c r="Q459" s="103"/>
    </row>
    <row r="460" spans="1:17">
      <c r="A460" s="101" t="s">
        <v>1183</v>
      </c>
      <c r="B460" s="115" t="s">
        <v>1272</v>
      </c>
      <c r="C460" s="116" t="s">
        <v>39</v>
      </c>
      <c r="D460" s="115" t="s">
        <v>1273</v>
      </c>
      <c r="E460" s="214">
        <v>3769644.9</v>
      </c>
      <c r="F460" s="219">
        <v>26</v>
      </c>
      <c r="G460" s="219">
        <v>1</v>
      </c>
      <c r="J460" s="105"/>
      <c r="K460" s="99"/>
      <c r="L460" s="99"/>
      <c r="M460" s="108"/>
      <c r="N460" s="108"/>
      <c r="O460" s="108"/>
      <c r="P460" s="108"/>
      <c r="Q460" s="103"/>
    </row>
    <row r="461" spans="1:17">
      <c r="A461" s="101" t="s">
        <v>1185</v>
      </c>
      <c r="B461" s="115" t="s">
        <v>1272</v>
      </c>
      <c r="C461" s="116" t="s">
        <v>128</v>
      </c>
      <c r="D461" s="115" t="s">
        <v>1273</v>
      </c>
      <c r="E461" s="214">
        <v>11987987.84</v>
      </c>
      <c r="F461" s="219">
        <v>71</v>
      </c>
      <c r="G461" s="219">
        <v>1</v>
      </c>
      <c r="J461" s="105"/>
      <c r="K461" s="99"/>
      <c r="L461" s="99"/>
      <c r="M461" s="108"/>
      <c r="N461" s="108"/>
      <c r="O461" s="108"/>
      <c r="P461" s="108"/>
      <c r="Q461" s="103"/>
    </row>
    <row r="462" spans="1:17">
      <c r="A462" s="101" t="s">
        <v>1187</v>
      </c>
      <c r="B462" s="115" t="s">
        <v>1274</v>
      </c>
      <c r="C462" s="116" t="s">
        <v>171</v>
      </c>
      <c r="D462" s="115" t="s">
        <v>1271</v>
      </c>
      <c r="E462" s="214">
        <v>1251613.74</v>
      </c>
      <c r="F462" s="219">
        <v>25</v>
      </c>
      <c r="G462" s="219">
        <v>1</v>
      </c>
      <c r="J462" s="105"/>
      <c r="K462" s="99"/>
      <c r="L462" s="99"/>
      <c r="M462" s="108"/>
      <c r="N462" s="108"/>
      <c r="O462" s="108"/>
      <c r="P462" s="108"/>
      <c r="Q462" s="103"/>
    </row>
    <row r="463" spans="1:17">
      <c r="A463" s="101" t="s">
        <v>1189</v>
      </c>
      <c r="B463" s="115" t="s">
        <v>1274</v>
      </c>
      <c r="C463" s="116" t="s">
        <v>171</v>
      </c>
      <c r="D463" s="115" t="s">
        <v>1271</v>
      </c>
      <c r="E463" s="214">
        <v>1988965.59</v>
      </c>
      <c r="F463" s="219">
        <v>50</v>
      </c>
      <c r="G463" s="219">
        <v>1</v>
      </c>
      <c r="J463" s="105"/>
      <c r="K463" s="99"/>
      <c r="L463" s="99"/>
      <c r="M463" s="108"/>
      <c r="N463" s="108"/>
      <c r="O463" s="108"/>
      <c r="P463" s="108"/>
      <c r="Q463" s="103"/>
    </row>
    <row r="464" spans="1:17">
      <c r="A464" s="101" t="s">
        <v>1191</v>
      </c>
      <c r="B464" s="115" t="s">
        <v>1272</v>
      </c>
      <c r="C464" s="116" t="s">
        <v>138</v>
      </c>
      <c r="D464" s="115" t="s">
        <v>1271</v>
      </c>
      <c r="E464" s="214">
        <v>5289823.0399999991</v>
      </c>
      <c r="F464" s="219">
        <v>97</v>
      </c>
      <c r="G464" s="219">
        <v>1</v>
      </c>
      <c r="J464" s="105"/>
      <c r="K464" s="99"/>
      <c r="L464" s="99"/>
      <c r="M464" s="108"/>
      <c r="N464" s="108"/>
      <c r="O464" s="108"/>
      <c r="P464" s="108"/>
      <c r="Q464" s="103"/>
    </row>
    <row r="465" spans="1:17">
      <c r="A465" s="101" t="s">
        <v>1193</v>
      </c>
      <c r="B465" s="115" t="s">
        <v>1272</v>
      </c>
      <c r="C465" s="116" t="s">
        <v>138</v>
      </c>
      <c r="D465" s="115" t="s">
        <v>1271</v>
      </c>
      <c r="E465" s="214">
        <v>3546551.37</v>
      </c>
      <c r="F465" s="219">
        <v>60</v>
      </c>
      <c r="G465" s="219">
        <v>1</v>
      </c>
      <c r="J465" s="105"/>
      <c r="K465" s="99"/>
      <c r="L465" s="99"/>
      <c r="M465" s="108"/>
      <c r="N465" s="108"/>
      <c r="O465" s="108"/>
      <c r="P465" s="108"/>
      <c r="Q465" s="103"/>
    </row>
    <row r="466" spans="1:17">
      <c r="A466" s="101" t="s">
        <v>1195</v>
      </c>
      <c r="B466" s="115" t="s">
        <v>1274</v>
      </c>
      <c r="C466" s="101" t="s">
        <v>108</v>
      </c>
      <c r="D466" s="115" t="s">
        <v>1271</v>
      </c>
      <c r="E466" s="214">
        <v>5254793.6300000008</v>
      </c>
      <c r="F466" s="219">
        <v>100</v>
      </c>
      <c r="G466" s="219">
        <v>1</v>
      </c>
      <c r="J466" s="105"/>
      <c r="K466" s="99"/>
      <c r="L466" s="99"/>
      <c r="M466" s="108"/>
      <c r="N466" s="108"/>
      <c r="O466" s="108"/>
      <c r="P466" s="108"/>
      <c r="Q466" s="103"/>
    </row>
    <row r="467" spans="1:17">
      <c r="A467" s="101" t="s">
        <v>1197</v>
      </c>
      <c r="B467" s="115" t="s">
        <v>1274</v>
      </c>
      <c r="C467" s="116" t="s">
        <v>108</v>
      </c>
      <c r="D467" s="115" t="s">
        <v>1271</v>
      </c>
      <c r="E467" s="214">
        <v>6681662.3900000006</v>
      </c>
      <c r="F467" s="219">
        <v>80</v>
      </c>
      <c r="G467" s="219">
        <v>1</v>
      </c>
      <c r="J467" s="105"/>
      <c r="K467" s="99"/>
      <c r="L467" s="99"/>
      <c r="M467" s="108"/>
      <c r="N467" s="108"/>
      <c r="O467" s="108"/>
      <c r="P467" s="108"/>
      <c r="Q467" s="103"/>
    </row>
    <row r="468" spans="1:17">
      <c r="A468" s="101" t="s">
        <v>1199</v>
      </c>
      <c r="B468" s="115" t="s">
        <v>1274</v>
      </c>
      <c r="C468" s="116" t="s">
        <v>179</v>
      </c>
      <c r="D468" s="115" t="s">
        <v>1271</v>
      </c>
      <c r="E468" s="214">
        <v>3288105.33</v>
      </c>
      <c r="F468" s="219">
        <v>40</v>
      </c>
      <c r="G468" s="219">
        <v>1</v>
      </c>
      <c r="J468" s="105"/>
      <c r="K468" s="99"/>
      <c r="L468" s="99"/>
      <c r="M468" s="108"/>
      <c r="N468" s="108"/>
      <c r="O468" s="108"/>
      <c r="P468" s="108"/>
      <c r="Q468" s="103"/>
    </row>
    <row r="469" spans="1:17">
      <c r="A469" s="101" t="s">
        <v>1201</v>
      </c>
      <c r="B469" s="115" t="s">
        <v>1274</v>
      </c>
      <c r="C469" s="116" t="s">
        <v>179</v>
      </c>
      <c r="D469" s="115" t="s">
        <v>1271</v>
      </c>
      <c r="E469" s="214">
        <v>2591057.2199999997</v>
      </c>
      <c r="F469" s="219">
        <v>40</v>
      </c>
      <c r="G469" s="219">
        <v>1</v>
      </c>
      <c r="J469" s="105"/>
      <c r="K469" s="99"/>
      <c r="L469" s="99"/>
      <c r="M469" s="108"/>
      <c r="N469" s="108"/>
      <c r="O469" s="108"/>
      <c r="P469" s="108"/>
      <c r="Q469" s="103"/>
    </row>
    <row r="470" spans="1:17">
      <c r="A470" s="101" t="s">
        <v>1203</v>
      </c>
      <c r="B470" s="115" t="s">
        <v>1274</v>
      </c>
      <c r="C470" s="116" t="s">
        <v>179</v>
      </c>
      <c r="D470" s="115" t="s">
        <v>1271</v>
      </c>
      <c r="E470" s="214">
        <v>1374224.19</v>
      </c>
      <c r="F470" s="219">
        <v>24</v>
      </c>
      <c r="G470" s="219">
        <v>1</v>
      </c>
      <c r="J470" s="105"/>
      <c r="K470" s="99"/>
      <c r="L470" s="99"/>
      <c r="M470" s="108"/>
      <c r="N470" s="108"/>
      <c r="O470" s="108"/>
      <c r="P470" s="108"/>
      <c r="Q470" s="103"/>
    </row>
    <row r="471" spans="1:17">
      <c r="A471" s="101" t="s">
        <v>1205</v>
      </c>
      <c r="B471" s="115" t="s">
        <v>1272</v>
      </c>
      <c r="C471" s="116" t="s">
        <v>112</v>
      </c>
      <c r="D471" s="115" t="s">
        <v>1273</v>
      </c>
      <c r="E471" s="214">
        <v>15510077.76</v>
      </c>
      <c r="F471" s="219">
        <v>76</v>
      </c>
      <c r="G471" s="219">
        <v>1</v>
      </c>
      <c r="J471" s="105"/>
      <c r="K471" s="99"/>
      <c r="L471" s="99"/>
      <c r="M471" s="108"/>
      <c r="N471" s="108"/>
      <c r="O471" s="108"/>
      <c r="P471" s="108"/>
      <c r="Q471" s="103"/>
    </row>
    <row r="472" spans="1:17">
      <c r="A472" s="101" t="s">
        <v>1207</v>
      </c>
      <c r="B472" s="115" t="s">
        <v>1272</v>
      </c>
      <c r="C472" s="116" t="s">
        <v>152</v>
      </c>
      <c r="D472" s="115" t="s">
        <v>1273</v>
      </c>
      <c r="E472" s="214">
        <v>10830167.300000001</v>
      </c>
      <c r="F472" s="219">
        <v>70</v>
      </c>
      <c r="G472" s="219">
        <v>1</v>
      </c>
      <c r="J472" s="105"/>
      <c r="K472" s="99"/>
      <c r="L472" s="99"/>
      <c r="M472" s="108"/>
      <c r="N472" s="108"/>
      <c r="O472" s="108"/>
      <c r="P472" s="108"/>
      <c r="Q472" s="103"/>
    </row>
    <row r="473" spans="1:17">
      <c r="A473" s="101" t="s">
        <v>1209</v>
      </c>
      <c r="B473" s="115" t="s">
        <v>1272</v>
      </c>
      <c r="C473" s="116" t="s">
        <v>106</v>
      </c>
      <c r="D473" s="115" t="s">
        <v>1271</v>
      </c>
      <c r="E473" s="214">
        <v>7657405.8399999999</v>
      </c>
      <c r="F473" s="219">
        <v>103</v>
      </c>
      <c r="G473" s="219">
        <v>1</v>
      </c>
      <c r="J473" s="105"/>
      <c r="K473" s="99"/>
      <c r="L473" s="99"/>
      <c r="M473" s="108"/>
      <c r="N473" s="108"/>
      <c r="O473" s="108"/>
      <c r="P473" s="108"/>
      <c r="Q473" s="103"/>
    </row>
    <row r="474" spans="1:17">
      <c r="A474" s="101" t="s">
        <v>1211</v>
      </c>
      <c r="B474" s="115" t="s">
        <v>1274</v>
      </c>
      <c r="C474" s="116" t="s">
        <v>129</v>
      </c>
      <c r="D474" s="115" t="s">
        <v>1273</v>
      </c>
      <c r="E474" s="214">
        <v>6671544.5600000005</v>
      </c>
      <c r="F474" s="219">
        <v>70</v>
      </c>
      <c r="G474" s="219">
        <v>1</v>
      </c>
      <c r="J474" s="105"/>
      <c r="K474" s="99"/>
      <c r="L474" s="99"/>
      <c r="M474" s="108"/>
      <c r="N474" s="108"/>
      <c r="O474" s="108"/>
      <c r="P474" s="108"/>
      <c r="Q474" s="103"/>
    </row>
    <row r="475" spans="1:17">
      <c r="A475" s="101" t="s">
        <v>1213</v>
      </c>
      <c r="B475" s="115" t="s">
        <v>1272</v>
      </c>
      <c r="C475" s="116" t="s">
        <v>151</v>
      </c>
      <c r="D475" s="115" t="s">
        <v>1271</v>
      </c>
      <c r="E475" s="214">
        <v>4887880.91</v>
      </c>
      <c r="F475" s="219">
        <v>67</v>
      </c>
      <c r="G475" s="219">
        <v>1</v>
      </c>
      <c r="J475" s="105"/>
      <c r="K475" s="99"/>
      <c r="L475" s="99"/>
      <c r="M475" s="108"/>
      <c r="N475" s="108"/>
      <c r="O475" s="108"/>
      <c r="P475" s="108"/>
      <c r="Q475" s="103"/>
    </row>
    <row r="476" spans="1:17">
      <c r="A476" s="101" t="s">
        <v>1217</v>
      </c>
      <c r="B476" s="115" t="s">
        <v>1272</v>
      </c>
      <c r="C476" s="116" t="s">
        <v>175</v>
      </c>
      <c r="D476" s="115" t="s">
        <v>1273</v>
      </c>
      <c r="E476" s="214">
        <v>13882177.629999999</v>
      </c>
      <c r="F476" s="219">
        <v>80</v>
      </c>
      <c r="G476" s="219">
        <v>1</v>
      </c>
      <c r="J476" s="105"/>
      <c r="K476" s="99"/>
      <c r="L476" s="99"/>
      <c r="M476" s="108"/>
      <c r="N476" s="108"/>
      <c r="O476" s="108"/>
      <c r="P476" s="108"/>
      <c r="Q476" s="103"/>
    </row>
    <row r="477" spans="1:17">
      <c r="A477" s="101" t="s">
        <v>1219</v>
      </c>
      <c r="B477" s="115" t="s">
        <v>1272</v>
      </c>
      <c r="C477" s="116" t="s">
        <v>175</v>
      </c>
      <c r="D477" s="115" t="s">
        <v>1271</v>
      </c>
      <c r="E477" s="214">
        <v>2959321.25</v>
      </c>
      <c r="F477" s="219">
        <v>60</v>
      </c>
      <c r="G477" s="219">
        <v>1</v>
      </c>
      <c r="J477" s="105"/>
      <c r="K477" s="99"/>
      <c r="L477" s="99"/>
      <c r="M477" s="108"/>
      <c r="N477" s="108"/>
      <c r="O477" s="108"/>
      <c r="P477" s="108"/>
      <c r="Q477" s="103"/>
    </row>
    <row r="478" spans="1:17">
      <c r="A478" s="101" t="s">
        <v>1221</v>
      </c>
      <c r="B478" s="115" t="s">
        <v>1272</v>
      </c>
      <c r="C478" s="116" t="s">
        <v>106</v>
      </c>
      <c r="D478" s="115" t="s">
        <v>1271</v>
      </c>
      <c r="E478" s="214">
        <v>1572300.3399999999</v>
      </c>
      <c r="F478" s="219">
        <v>31</v>
      </c>
      <c r="G478" s="219">
        <v>1</v>
      </c>
      <c r="J478" s="105"/>
      <c r="K478" s="99"/>
      <c r="L478" s="99"/>
      <c r="M478" s="108"/>
      <c r="N478" s="108"/>
      <c r="O478" s="108"/>
      <c r="P478" s="108"/>
      <c r="Q478" s="103"/>
    </row>
    <row r="479" spans="1:17">
      <c r="A479" s="101" t="s">
        <v>1223</v>
      </c>
      <c r="B479" s="115" t="s">
        <v>1274</v>
      </c>
      <c r="C479" s="116" t="s">
        <v>134</v>
      </c>
      <c r="D479" s="115" t="s">
        <v>1271</v>
      </c>
      <c r="E479" s="214">
        <v>1968300.3900000001</v>
      </c>
      <c r="F479" s="219">
        <v>34</v>
      </c>
      <c r="G479" s="219">
        <v>1</v>
      </c>
      <c r="J479" s="105"/>
      <c r="K479" s="99"/>
      <c r="L479" s="99"/>
      <c r="M479" s="108"/>
      <c r="N479" s="108"/>
      <c r="O479" s="108"/>
      <c r="P479" s="108"/>
      <c r="Q479" s="103"/>
    </row>
    <row r="480" spans="1:17">
      <c r="A480" s="101" t="s">
        <v>1225</v>
      </c>
      <c r="B480" s="115" t="s">
        <v>1272</v>
      </c>
      <c r="C480" s="116" t="s">
        <v>147</v>
      </c>
      <c r="D480" s="115" t="s">
        <v>1273</v>
      </c>
      <c r="E480" s="214">
        <v>14053613.789999999</v>
      </c>
      <c r="F480" s="219">
        <v>90</v>
      </c>
      <c r="G480" s="219">
        <v>1</v>
      </c>
      <c r="J480" s="105"/>
      <c r="K480" s="99"/>
      <c r="L480" s="99"/>
      <c r="M480" s="108"/>
      <c r="N480" s="108"/>
      <c r="O480" s="108"/>
      <c r="P480" s="108"/>
      <c r="Q480" s="103"/>
    </row>
    <row r="481" spans="1:17">
      <c r="A481" s="101" t="s">
        <v>1227</v>
      </c>
      <c r="B481" s="115" t="s">
        <v>1272</v>
      </c>
      <c r="C481" s="116" t="s">
        <v>112</v>
      </c>
      <c r="D481" s="115" t="s">
        <v>1273</v>
      </c>
      <c r="E481" s="214">
        <v>11583874.289999999</v>
      </c>
      <c r="F481" s="219">
        <v>78</v>
      </c>
      <c r="G481" s="219">
        <v>1</v>
      </c>
      <c r="J481" s="105"/>
      <c r="K481" s="99"/>
      <c r="L481" s="99"/>
      <c r="M481" s="108"/>
      <c r="N481" s="108"/>
      <c r="O481" s="108"/>
      <c r="P481" s="108"/>
      <c r="Q481" s="103"/>
    </row>
    <row r="482" spans="1:17">
      <c r="A482" s="101" t="s">
        <v>1229</v>
      </c>
      <c r="B482" s="115" t="s">
        <v>1272</v>
      </c>
      <c r="C482" s="116" t="s">
        <v>155</v>
      </c>
      <c r="D482" s="115" t="s">
        <v>1273</v>
      </c>
      <c r="E482" s="214">
        <v>4454031.21</v>
      </c>
      <c r="F482" s="219">
        <v>40</v>
      </c>
      <c r="G482" s="219">
        <v>1</v>
      </c>
      <c r="J482" s="105"/>
      <c r="K482" s="99"/>
      <c r="L482" s="99"/>
      <c r="M482" s="108"/>
      <c r="N482" s="108"/>
      <c r="O482" s="108"/>
      <c r="P482" s="108"/>
      <c r="Q482" s="103"/>
    </row>
    <row r="483" spans="1:17">
      <c r="A483" s="101" t="s">
        <v>1231</v>
      </c>
      <c r="B483" s="115" t="s">
        <v>1272</v>
      </c>
      <c r="C483" s="116" t="s">
        <v>135</v>
      </c>
      <c r="D483" s="115" t="s">
        <v>1273</v>
      </c>
      <c r="E483" s="214">
        <v>5883491.4299999997</v>
      </c>
      <c r="F483" s="219">
        <v>40</v>
      </c>
      <c r="G483" s="219">
        <v>1</v>
      </c>
      <c r="J483" s="105"/>
      <c r="K483" s="99"/>
      <c r="L483" s="99"/>
      <c r="M483" s="108"/>
      <c r="N483" s="108"/>
      <c r="O483" s="108"/>
      <c r="P483" s="108"/>
      <c r="Q483" s="103"/>
    </row>
    <row r="484" spans="1:17">
      <c r="A484" s="101" t="s">
        <v>1233</v>
      </c>
      <c r="B484" s="115" t="s">
        <v>1272</v>
      </c>
      <c r="C484" s="116" t="s">
        <v>175</v>
      </c>
      <c r="D484" s="115" t="s">
        <v>1273</v>
      </c>
      <c r="E484" s="214">
        <v>9309534.0099999998</v>
      </c>
      <c r="F484" s="219">
        <v>70</v>
      </c>
      <c r="G484" s="219">
        <v>1</v>
      </c>
      <c r="J484" s="105"/>
      <c r="K484" s="99"/>
      <c r="L484" s="99"/>
      <c r="M484" s="108"/>
      <c r="N484" s="108"/>
      <c r="O484" s="108"/>
      <c r="P484" s="108"/>
      <c r="Q484" s="103"/>
    </row>
    <row r="485" spans="1:17">
      <c r="A485" s="101" t="s">
        <v>1235</v>
      </c>
      <c r="B485" s="115" t="s">
        <v>1274</v>
      </c>
      <c r="C485" s="116" t="s">
        <v>179</v>
      </c>
      <c r="D485" s="115" t="s">
        <v>1273</v>
      </c>
      <c r="E485" s="214">
        <v>3003021.33</v>
      </c>
      <c r="F485" s="219">
        <v>34</v>
      </c>
      <c r="G485" s="219">
        <v>1</v>
      </c>
      <c r="J485" s="105"/>
      <c r="K485" s="99"/>
      <c r="L485" s="99"/>
      <c r="M485" s="108"/>
      <c r="N485" s="108"/>
      <c r="O485" s="108"/>
      <c r="P485" s="108"/>
      <c r="Q485" s="103"/>
    </row>
    <row r="486" spans="1:17">
      <c r="A486" s="101" t="s">
        <v>1237</v>
      </c>
      <c r="B486" s="115" t="s">
        <v>1272</v>
      </c>
      <c r="C486" s="116" t="s">
        <v>151</v>
      </c>
      <c r="D486" s="115" t="s">
        <v>1273</v>
      </c>
      <c r="E486" s="214">
        <v>4652852.8599999994</v>
      </c>
      <c r="F486" s="219">
        <v>40</v>
      </c>
      <c r="G486" s="219">
        <v>1</v>
      </c>
      <c r="J486" s="105"/>
      <c r="K486" s="99"/>
      <c r="L486" s="99"/>
      <c r="M486" s="108"/>
      <c r="N486" s="108"/>
      <c r="O486" s="108"/>
      <c r="P486" s="108"/>
      <c r="Q486" s="103"/>
    </row>
    <row r="487" spans="1:17">
      <c r="A487" s="101" t="s">
        <v>1239</v>
      </c>
      <c r="B487" s="115" t="s">
        <v>1272</v>
      </c>
      <c r="C487" s="116" t="s">
        <v>174</v>
      </c>
      <c r="D487" s="115" t="s">
        <v>1271</v>
      </c>
      <c r="E487" s="214">
        <v>4077934.49</v>
      </c>
      <c r="F487" s="219">
        <v>50</v>
      </c>
      <c r="G487" s="219">
        <v>1</v>
      </c>
      <c r="J487" s="105"/>
      <c r="K487" s="99"/>
      <c r="L487" s="99"/>
      <c r="M487" s="108"/>
      <c r="N487" s="108"/>
      <c r="O487" s="108"/>
      <c r="P487" s="108"/>
      <c r="Q487" s="103"/>
    </row>
    <row r="488" spans="1:17">
      <c r="A488" s="101" t="s">
        <v>1243</v>
      </c>
      <c r="B488" s="115" t="s">
        <v>1274</v>
      </c>
      <c r="C488" s="116" t="s">
        <v>127</v>
      </c>
      <c r="D488" s="115" t="s">
        <v>1273</v>
      </c>
      <c r="E488" s="214">
        <v>6428309.1600000001</v>
      </c>
      <c r="F488" s="219">
        <v>40</v>
      </c>
      <c r="G488" s="219">
        <v>1</v>
      </c>
      <c r="J488" s="105"/>
      <c r="K488" s="99"/>
      <c r="L488" s="99"/>
      <c r="M488" s="108"/>
      <c r="N488" s="108"/>
      <c r="O488" s="108"/>
      <c r="P488" s="108"/>
      <c r="Q488" s="103"/>
    </row>
    <row r="489" spans="1:17">
      <c r="A489" s="101" t="s">
        <v>1245</v>
      </c>
      <c r="B489" s="115" t="s">
        <v>1274</v>
      </c>
      <c r="C489" s="116" t="s">
        <v>107</v>
      </c>
      <c r="D489" s="115" t="s">
        <v>1271</v>
      </c>
      <c r="E489" s="214">
        <v>5616471.6399999997</v>
      </c>
      <c r="F489" s="219">
        <v>68</v>
      </c>
      <c r="G489" s="219">
        <v>1</v>
      </c>
      <c r="J489" s="105"/>
      <c r="K489" s="99"/>
      <c r="L489" s="99"/>
      <c r="M489" s="108"/>
      <c r="N489" s="108"/>
      <c r="O489" s="108"/>
      <c r="P489" s="108"/>
      <c r="Q489" s="103"/>
    </row>
    <row r="490" spans="1:17">
      <c r="A490" s="101" t="s">
        <v>1247</v>
      </c>
      <c r="B490" s="115" t="s">
        <v>1274</v>
      </c>
      <c r="C490" s="116" t="s">
        <v>107</v>
      </c>
      <c r="D490" s="115" t="s">
        <v>1271</v>
      </c>
      <c r="E490" s="214">
        <v>303361.48</v>
      </c>
      <c r="F490" s="219">
        <v>15</v>
      </c>
      <c r="G490" s="219">
        <v>1</v>
      </c>
      <c r="J490" s="105"/>
      <c r="K490" s="99"/>
      <c r="L490" s="99"/>
      <c r="M490" s="108"/>
      <c r="N490" s="108"/>
      <c r="O490" s="108"/>
      <c r="P490" s="108"/>
      <c r="Q490" s="103"/>
    </row>
    <row r="491" spans="1:17">
      <c r="A491" s="101" t="s">
        <v>1249</v>
      </c>
      <c r="B491" s="115" t="s">
        <v>1274</v>
      </c>
      <c r="C491" s="116" t="s">
        <v>107</v>
      </c>
      <c r="D491" s="115" t="s">
        <v>1271</v>
      </c>
      <c r="E491" s="214">
        <v>4076516.65</v>
      </c>
      <c r="F491" s="219">
        <v>55</v>
      </c>
      <c r="G491" s="219">
        <v>1</v>
      </c>
      <c r="J491" s="105"/>
      <c r="K491" s="99"/>
      <c r="L491" s="99"/>
      <c r="M491" s="108"/>
      <c r="N491" s="108"/>
      <c r="O491" s="108"/>
      <c r="P491" s="108"/>
      <c r="Q491" s="103"/>
    </row>
    <row r="492" spans="1:17">
      <c r="A492" s="101" t="s">
        <v>1253</v>
      </c>
      <c r="B492" s="115" t="s">
        <v>1272</v>
      </c>
      <c r="C492" s="116" t="s">
        <v>142</v>
      </c>
      <c r="D492" s="115" t="s">
        <v>1271</v>
      </c>
      <c r="E492" s="214">
        <v>4047224.1</v>
      </c>
      <c r="F492" s="219">
        <v>70</v>
      </c>
      <c r="G492" s="219">
        <v>1</v>
      </c>
      <c r="J492" s="105"/>
      <c r="K492" s="99"/>
      <c r="L492" s="99"/>
      <c r="M492" s="108"/>
      <c r="N492" s="108"/>
      <c r="O492" s="108"/>
      <c r="P492" s="108"/>
      <c r="Q492" s="103"/>
    </row>
    <row r="493" spans="1:17">
      <c r="A493" s="101" t="s">
        <v>1257</v>
      </c>
      <c r="B493" s="115" t="s">
        <v>1272</v>
      </c>
      <c r="C493" s="116" t="s">
        <v>144</v>
      </c>
      <c r="D493" s="115" t="s">
        <v>1271</v>
      </c>
      <c r="E493" s="214">
        <v>6054253.7999999998</v>
      </c>
      <c r="F493" s="219">
        <v>103</v>
      </c>
      <c r="G493" s="219">
        <v>1</v>
      </c>
      <c r="J493" s="105"/>
      <c r="K493" s="99"/>
      <c r="L493" s="99"/>
      <c r="M493" s="108"/>
      <c r="N493" s="108"/>
      <c r="O493" s="108"/>
      <c r="P493" s="108"/>
      <c r="Q493" s="103"/>
    </row>
    <row r="494" spans="1:17">
      <c r="A494" s="101" t="s">
        <v>1259</v>
      </c>
      <c r="B494" s="115" t="s">
        <v>1272</v>
      </c>
      <c r="C494" s="116" t="s">
        <v>144</v>
      </c>
      <c r="D494" s="115" t="s">
        <v>1271</v>
      </c>
      <c r="E494" s="214">
        <v>13457800</v>
      </c>
      <c r="F494" s="219">
        <v>76</v>
      </c>
      <c r="G494" s="219">
        <v>1</v>
      </c>
      <c r="J494" s="105"/>
      <c r="K494" s="99"/>
      <c r="L494" s="99"/>
      <c r="M494" s="108"/>
      <c r="N494" s="108"/>
      <c r="O494" s="108"/>
      <c r="P494" s="108"/>
      <c r="Q494" s="103"/>
    </row>
    <row r="495" spans="1:17">
      <c r="A495" s="101" t="s">
        <v>1255</v>
      </c>
      <c r="B495" s="115" t="s">
        <v>1272</v>
      </c>
      <c r="C495" s="116" t="s">
        <v>144</v>
      </c>
      <c r="D495" s="115" t="s">
        <v>1271</v>
      </c>
      <c r="E495" s="214">
        <v>2278550.25</v>
      </c>
      <c r="F495" s="219">
        <v>29</v>
      </c>
      <c r="G495" s="219">
        <v>1</v>
      </c>
      <c r="J495" s="105"/>
      <c r="K495" s="99"/>
      <c r="L495" s="99"/>
      <c r="M495" s="108"/>
      <c r="N495" s="108"/>
      <c r="O495" s="108"/>
      <c r="P495" s="108"/>
      <c r="Q495" s="103"/>
    </row>
    <row r="496" spans="1:17">
      <c r="A496" s="101" t="s">
        <v>1261</v>
      </c>
      <c r="B496" s="115" t="s">
        <v>1272</v>
      </c>
      <c r="C496" s="116" t="s">
        <v>177</v>
      </c>
      <c r="D496" s="115" t="s">
        <v>1273</v>
      </c>
      <c r="E496" s="214">
        <v>5599732.1299999999</v>
      </c>
      <c r="F496" s="219">
        <v>70</v>
      </c>
      <c r="G496" s="219">
        <v>1</v>
      </c>
      <c r="J496" s="105"/>
      <c r="K496" s="99"/>
      <c r="L496" s="99"/>
      <c r="M496" s="108"/>
      <c r="N496" s="108"/>
      <c r="O496" s="108"/>
      <c r="P496" s="108"/>
      <c r="Q496" s="103"/>
    </row>
    <row r="497" spans="1:17">
      <c r="A497" s="101" t="s">
        <v>1268</v>
      </c>
      <c r="B497" s="115" t="s">
        <v>1272</v>
      </c>
      <c r="C497" s="116" t="s">
        <v>138</v>
      </c>
      <c r="D497" s="115" t="s">
        <v>1273</v>
      </c>
      <c r="E497" s="214">
        <v>11916286.300000001</v>
      </c>
      <c r="F497" s="219">
        <v>80</v>
      </c>
      <c r="G497" s="219">
        <v>1</v>
      </c>
      <c r="J497" s="105"/>
      <c r="K497" s="99"/>
      <c r="L497" s="99"/>
      <c r="M497" s="108"/>
      <c r="N497" s="108"/>
      <c r="O497" s="108"/>
      <c r="P497" s="108"/>
      <c r="Q497" s="103"/>
    </row>
    <row r="498" spans="1:17">
      <c r="A498" s="101" t="s">
        <v>1263</v>
      </c>
      <c r="B498" s="115" t="s">
        <v>1274</v>
      </c>
      <c r="C498" s="116" t="s">
        <v>105</v>
      </c>
      <c r="D498" s="115" t="s">
        <v>1273</v>
      </c>
      <c r="E498" s="214">
        <v>13199280.84</v>
      </c>
      <c r="F498" s="219">
        <v>105</v>
      </c>
      <c r="G498" s="219">
        <v>1</v>
      </c>
      <c r="J498" s="105"/>
      <c r="K498" s="99"/>
      <c r="L498" s="99"/>
      <c r="M498" s="108"/>
      <c r="N498" s="108"/>
      <c r="O498" s="108"/>
      <c r="P498" s="108"/>
      <c r="Q498" s="103"/>
    </row>
    <row r="499" spans="1:17">
      <c r="A499" s="101" t="s">
        <v>1266</v>
      </c>
      <c r="B499" s="115" t="s">
        <v>1272</v>
      </c>
      <c r="C499" s="116" t="s">
        <v>124</v>
      </c>
      <c r="D499" s="115" t="s">
        <v>1273</v>
      </c>
      <c r="E499" s="214">
        <v>12562449.940000001</v>
      </c>
      <c r="F499" s="219">
        <v>100</v>
      </c>
      <c r="G499" s="219">
        <v>1</v>
      </c>
      <c r="J499" s="105"/>
      <c r="K499" s="99"/>
      <c r="L499" s="99"/>
      <c r="M499" s="108"/>
      <c r="N499" s="108"/>
      <c r="O499" s="108"/>
      <c r="P499" s="108"/>
      <c r="Q499" s="103"/>
    </row>
    <row r="500" spans="1:17">
      <c r="E500"/>
      <c r="F500"/>
      <c r="G500"/>
      <c r="J500" s="105"/>
      <c r="K500" s="99"/>
      <c r="L500" s="99"/>
      <c r="M500" s="108"/>
      <c r="N500" s="108"/>
      <c r="O500" s="108"/>
      <c r="P500" s="108"/>
      <c r="Q500" s="103"/>
    </row>
    <row r="501" spans="1:17">
      <c r="E501"/>
      <c r="F501"/>
      <c r="G501"/>
      <c r="J501" s="105"/>
      <c r="K501" s="99"/>
      <c r="L501" s="99"/>
      <c r="M501" s="108"/>
      <c r="N501" s="108"/>
      <c r="O501" s="108"/>
      <c r="P501" s="108"/>
      <c r="Q501" s="103"/>
    </row>
    <row r="502" spans="1:17">
      <c r="E502"/>
      <c r="F502"/>
      <c r="G502"/>
      <c r="J502" s="105"/>
      <c r="K502" s="99"/>
      <c r="L502" s="99"/>
      <c r="M502" s="108"/>
      <c r="N502" s="108"/>
      <c r="O502" s="108"/>
      <c r="P502" s="108"/>
      <c r="Q502" s="103"/>
    </row>
    <row r="503" spans="1:17">
      <c r="E503"/>
      <c r="F503"/>
      <c r="G503"/>
      <c r="J503" s="105"/>
      <c r="K503" s="99"/>
      <c r="L503" s="99"/>
      <c r="M503" s="108"/>
      <c r="N503" s="108"/>
      <c r="O503" s="108"/>
      <c r="P503" s="108"/>
      <c r="Q503" s="103"/>
    </row>
    <row r="504" spans="1:17">
      <c r="E504"/>
      <c r="F504"/>
      <c r="G504"/>
      <c r="J504" s="105"/>
      <c r="K504" s="99"/>
      <c r="L504" s="99"/>
      <c r="M504" s="108"/>
      <c r="N504" s="108"/>
      <c r="O504" s="108"/>
      <c r="P504" s="108"/>
      <c r="Q504" s="103"/>
    </row>
    <row r="505" spans="1:17">
      <c r="E505"/>
      <c r="F505"/>
      <c r="G505"/>
      <c r="J505" s="105"/>
      <c r="K505" s="99"/>
      <c r="L505" s="99"/>
      <c r="M505" s="108"/>
      <c r="N505" s="108"/>
      <c r="O505" s="108"/>
      <c r="P505" s="108"/>
      <c r="Q505" s="103"/>
    </row>
    <row r="506" spans="1:17">
      <c r="E506"/>
      <c r="F506"/>
      <c r="G506"/>
      <c r="J506" s="105"/>
      <c r="K506" s="99"/>
      <c r="L506" s="99"/>
      <c r="M506" s="108"/>
      <c r="N506" s="108"/>
      <c r="O506" s="108"/>
      <c r="P506" s="108"/>
      <c r="Q506" s="103"/>
    </row>
    <row r="507" spans="1:17">
      <c r="E507"/>
      <c r="F507"/>
      <c r="G507"/>
      <c r="J507" s="105"/>
      <c r="K507" s="99"/>
      <c r="L507" s="99"/>
      <c r="M507" s="108"/>
      <c r="N507" s="108"/>
      <c r="O507" s="108"/>
      <c r="P507" s="108"/>
      <c r="Q507" s="103"/>
    </row>
    <row r="508" spans="1:17">
      <c r="E508"/>
      <c r="F508"/>
      <c r="G508"/>
      <c r="J508" s="105"/>
      <c r="K508" s="99"/>
      <c r="L508" s="99"/>
      <c r="M508" s="108"/>
      <c r="N508" s="108"/>
      <c r="O508" s="108"/>
      <c r="P508" s="108"/>
      <c r="Q508" s="103"/>
    </row>
    <row r="509" spans="1:17">
      <c r="E509"/>
      <c r="F509"/>
      <c r="G509"/>
      <c r="J509" s="105"/>
      <c r="K509" s="99"/>
      <c r="L509" s="99"/>
      <c r="M509" s="108"/>
      <c r="N509" s="108"/>
      <c r="O509" s="108"/>
      <c r="P509" s="108"/>
      <c r="Q509" s="103"/>
    </row>
    <row r="510" spans="1:17">
      <c r="E510"/>
      <c r="F510"/>
      <c r="G510"/>
      <c r="J510" s="105"/>
      <c r="K510" s="99"/>
      <c r="L510" s="99"/>
      <c r="M510" s="108"/>
      <c r="N510" s="108"/>
      <c r="O510" s="108"/>
      <c r="P510" s="108"/>
      <c r="Q510" s="103"/>
    </row>
    <row r="511" spans="1:17">
      <c r="E511"/>
      <c r="F511"/>
      <c r="G511"/>
      <c r="J511" s="105"/>
      <c r="K511" s="99"/>
      <c r="L511" s="99"/>
      <c r="M511" s="108"/>
      <c r="N511" s="108"/>
      <c r="O511" s="108"/>
      <c r="P511" s="108"/>
      <c r="Q511" s="103"/>
    </row>
    <row r="512" spans="1:17">
      <c r="E512"/>
      <c r="F512"/>
      <c r="G512"/>
      <c r="J512" s="105"/>
      <c r="K512" s="99"/>
      <c r="L512" s="99"/>
      <c r="M512" s="108"/>
      <c r="N512" s="108"/>
      <c r="O512" s="108"/>
      <c r="P512" s="108"/>
      <c r="Q512" s="103"/>
    </row>
    <row r="513" spans="1:17">
      <c r="E513"/>
      <c r="F513"/>
      <c r="G513"/>
      <c r="J513" s="105"/>
      <c r="K513" s="108"/>
      <c r="L513" s="108"/>
      <c r="M513" s="108"/>
      <c r="N513" s="108"/>
      <c r="O513" s="108"/>
      <c r="P513" s="108"/>
      <c r="Q513" s="103"/>
    </row>
    <row r="514" spans="1:17">
      <c r="A514" s="118"/>
      <c r="B514" s="119"/>
      <c r="C514" s="118"/>
      <c r="D514" s="119"/>
      <c r="E514" s="211"/>
      <c r="H514" s="105"/>
      <c r="I514" s="105"/>
      <c r="J514" s="105"/>
      <c r="K514" s="108"/>
      <c r="L514" s="108"/>
      <c r="M514" s="108"/>
      <c r="N514" s="108"/>
      <c r="O514" s="108"/>
      <c r="P514" s="108"/>
      <c r="Q514" s="103"/>
    </row>
  </sheetData>
  <sheetProtection sheet="1" objects="1" scenarios="1"/>
  <mergeCells count="1">
    <mergeCell ref="J1:Q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zoomScale="115" zoomScaleNormal="115" workbookViewId="0">
      <pane xSplit="11" ySplit="17" topLeftCell="L18" activePane="bottomRight" state="frozen"/>
      <selection pane="topRight" activeCell="L1" sqref="L1"/>
      <selection pane="bottomLeft" activeCell="A18" sqref="A18"/>
      <selection pane="bottomRight" activeCell="B16" sqref="B16"/>
    </sheetView>
  </sheetViews>
  <sheetFormatPr defaultRowHeight="12.75"/>
  <cols>
    <col min="1" max="1" width="40" style="5" customWidth="1"/>
    <col min="2" max="3" width="7.85546875" style="5" customWidth="1"/>
    <col min="4" max="4" width="9.28515625" style="5" customWidth="1"/>
    <col min="5" max="5" width="1.5703125" style="28" customWidth="1"/>
    <col min="6" max="7" width="7.85546875" style="28" customWidth="1"/>
    <col min="8" max="8" width="9.28515625" style="28" customWidth="1"/>
    <col min="9" max="9" width="1.85546875" style="28" customWidth="1"/>
    <col min="10" max="10" width="13.7109375" style="28" customWidth="1"/>
    <col min="11" max="11" width="13" style="28" customWidth="1"/>
    <col min="12" max="17" width="8.7109375" style="28" customWidth="1"/>
    <col min="18" max="27" width="8.7109375" style="5" customWidth="1"/>
    <col min="28" max="16384" width="9.140625" style="5"/>
  </cols>
  <sheetData>
    <row r="1" spans="1:14" ht="25.5" customHeight="1">
      <c r="B1" s="6">
        <v>26</v>
      </c>
      <c r="F1" s="189">
        <v>80</v>
      </c>
      <c r="L1" s="399" t="s">
        <v>1410</v>
      </c>
      <c r="M1" s="400"/>
    </row>
    <row r="2" spans="1:14" ht="18" customHeight="1" thickBot="1">
      <c r="A2" s="190" t="s">
        <v>1394</v>
      </c>
      <c r="E2" s="190" t="s">
        <v>1393</v>
      </c>
      <c r="F2" s="186"/>
      <c r="L2" s="401"/>
      <c r="M2" s="402"/>
      <c r="N2" s="37"/>
    </row>
    <row r="3" spans="1:14" ht="13.5" customHeight="1" thickTop="1">
      <c r="B3" s="395"/>
      <c r="C3" s="395"/>
      <c r="D3" s="395"/>
      <c r="G3" s="36"/>
      <c r="I3" s="36"/>
      <c r="J3" s="394" t="str">
        <f>CONCATENATE(A5,": number higher or lower than ",F5)</f>
        <v>Greater Dandenong : number higher or lower than Victoria</v>
      </c>
      <c r="K3" s="409" t="str">
        <f>CONCATENATE(A5,": per cent more or less than ",F5)</f>
        <v>Greater Dandenong : per cent more or less than Victoria</v>
      </c>
      <c r="M3" s="37"/>
      <c r="N3" s="37"/>
    </row>
    <row r="4" spans="1:14" ht="4.5" customHeight="1">
      <c r="B4" s="396"/>
      <c r="C4" s="396"/>
      <c r="D4" s="396"/>
      <c r="J4" s="394"/>
      <c r="K4" s="409"/>
    </row>
    <row r="5" spans="1:14" ht="9" customHeight="1">
      <c r="A5" s="406" t="str">
        <f>INDEX(Data!B5:B85,Indicators!B1)</f>
        <v xml:space="preserve">Greater Dandenong </v>
      </c>
      <c r="B5" s="406"/>
      <c r="C5" s="406"/>
      <c r="D5" s="406"/>
      <c r="F5" s="404" t="str">
        <f>INDEX(Data!B5:B85,Indicators!F1)</f>
        <v>Victoria</v>
      </c>
      <c r="G5" s="404"/>
      <c r="H5" s="404"/>
      <c r="J5" s="394"/>
      <c r="K5" s="409"/>
    </row>
    <row r="6" spans="1:14" ht="11.25" customHeight="1">
      <c r="A6" s="407"/>
      <c r="B6" s="407"/>
      <c r="C6" s="407"/>
      <c r="D6" s="407"/>
      <c r="F6" s="405"/>
      <c r="G6" s="405"/>
      <c r="H6" s="405"/>
      <c r="J6" s="394"/>
      <c r="K6" s="409"/>
    </row>
    <row r="7" spans="1:14" ht="17.25" customHeight="1">
      <c r="A7" s="225"/>
      <c r="B7" s="397" t="s">
        <v>6</v>
      </c>
      <c r="C7" s="397"/>
      <c r="D7" s="191" t="s">
        <v>7</v>
      </c>
      <c r="E7" s="186"/>
      <c r="F7" s="403" t="s">
        <v>6</v>
      </c>
      <c r="G7" s="403"/>
      <c r="H7" s="191" t="s">
        <v>7</v>
      </c>
      <c r="J7" s="394"/>
      <c r="K7" s="409"/>
    </row>
    <row r="8" spans="1:14" ht="22.5" customHeight="1">
      <c r="A8" s="13" t="s">
        <v>1501</v>
      </c>
      <c r="B8" s="15">
        <f>VLOOKUP($B$1,Data!$A$5:$T$85,5)</f>
        <v>15</v>
      </c>
      <c r="C8" s="3"/>
      <c r="D8" s="58" t="s">
        <v>202</v>
      </c>
      <c r="F8" s="15">
        <f>VLOOKUP($F$1,Data!$A$5:$T$85,5)</f>
        <v>496</v>
      </c>
      <c r="G8" s="3"/>
      <c r="H8" s="58" t="s">
        <v>202</v>
      </c>
      <c r="J8" s="192" t="str">
        <f>IF(B8&gt;F8,CONCATENATE(B8-F8," more "),IF(F8&gt;B8,CONCATENATE(F8-B8," fewer "),"equal"))</f>
        <v xml:space="preserve">481 fewer </v>
      </c>
      <c r="K8" s="199" t="str">
        <f t="shared" ref="K8:K14" si="0">IF(B8&gt;F8,CONCATENATE(ROUNDUP((B8-F8)/F8*100,0),"% greater "),IF(F8&gt;B8,CONCATENATE(ROUNDUP((F8-B8)/F8*100,0),"% less "),"equal"))</f>
        <v xml:space="preserve">97% less </v>
      </c>
    </row>
    <row r="9" spans="1:14" ht="21.75" customHeight="1">
      <c r="A9" s="14" t="s">
        <v>1516</v>
      </c>
      <c r="B9" s="67">
        <f>VLOOKUP($B$1,Data!$A$5:$T$85,6)</f>
        <v>957</v>
      </c>
      <c r="C9" s="2"/>
      <c r="D9" s="4">
        <f>VLOOKUP($B$1,Data!$A$5:$T$85,11)</f>
        <v>2</v>
      </c>
      <c r="E9" s="31"/>
      <c r="F9" s="67">
        <f>VLOOKUP($F$1,Data!$A$5:$T$85,6)</f>
        <v>26473</v>
      </c>
      <c r="G9" s="2"/>
      <c r="H9" s="4" t="str">
        <f>VLOOKUP($F$1,Data!$A$5:$T$85,11)</f>
        <v>*</v>
      </c>
      <c r="I9" s="31"/>
      <c r="J9" s="193" t="str">
        <f>IF(B9&gt;F9,CONCATENATE(B9-F9," more "),IF(F9&gt;B9,CONCATENATE(F9-B9," fewer "),"equal"))</f>
        <v xml:space="preserve">25516 fewer </v>
      </c>
      <c r="K9" s="200" t="str">
        <f t="shared" si="0"/>
        <v xml:space="preserve">97% less </v>
      </c>
      <c r="L9" s="31"/>
    </row>
    <row r="10" spans="1:14" ht="21.75" hidden="1" customHeight="1">
      <c r="A10" s="14" t="s">
        <v>1411</v>
      </c>
      <c r="B10" s="67">
        <f>VLOOKUP($B$1,Data!$A$5:$T$85,7)</f>
        <v>3409.825691098777</v>
      </c>
      <c r="C10" s="2"/>
      <c r="D10" s="4">
        <f>VLOOKUP($B$1,Data!$A$5:$T$85,12)</f>
        <v>2</v>
      </c>
      <c r="E10" s="31"/>
      <c r="F10" s="67">
        <f>VLOOKUP($F$1,Data!$A$5:$T$85,7)</f>
        <v>54348.797155657332</v>
      </c>
      <c r="G10" s="2"/>
      <c r="H10" s="4" t="str">
        <f>VLOOKUP($F$1,Data!$A$5:$T$85,12)</f>
        <v>*</v>
      </c>
      <c r="I10" s="31"/>
      <c r="J10" s="194" t="str">
        <f>IF(B10&gt;F10,CONCATENATE(B10-F10," more "),IF(F10&gt;B10,CONCATENATE(F10-B10," fewer "),"equal"))</f>
        <v xml:space="preserve">50938.9714645586 fewer </v>
      </c>
      <c r="K10" s="201" t="str">
        <f t="shared" si="0"/>
        <v xml:space="preserve">94% less </v>
      </c>
      <c r="L10" s="31"/>
    </row>
    <row r="11" spans="1:14" ht="21.75" customHeight="1" thickBot="1">
      <c r="A11" s="1" t="s">
        <v>1502</v>
      </c>
      <c r="B11" s="169">
        <f>VLOOKUP($B$1,Data!$A$5:$T$85,13)</f>
        <v>7.2967805743495076</v>
      </c>
      <c r="C11" s="68"/>
      <c r="D11" s="69">
        <f>VLOOKUP($B$1,Data!$A$5:$T$85,14)</f>
        <v>16</v>
      </c>
      <c r="E11" s="31"/>
      <c r="F11" s="169">
        <f>VLOOKUP($F$1,Data!$A$5:$T$85,13)</f>
        <v>5.2029196372228874</v>
      </c>
      <c r="G11" s="68"/>
      <c r="H11" s="69" t="str">
        <f>VLOOKUP($F$1,Data!$A$5:$T$85,14)</f>
        <v>*</v>
      </c>
      <c r="I11" s="31"/>
      <c r="J11" s="195" t="str">
        <f>IF(B11&gt;F11,CONCATENATE(ROUNDUP(B11-F11,1)," more "),IF(F11&gt;B11,CONCATENATE(ROUNDUP(F11-B11,1)," fewer "),"equal"))</f>
        <v xml:space="preserve">2.1 more </v>
      </c>
      <c r="K11" s="202" t="str">
        <f t="shared" si="0"/>
        <v xml:space="preserve">41% greater </v>
      </c>
      <c r="L11" s="31"/>
    </row>
    <row r="12" spans="1:14" ht="21.75" customHeight="1" thickTop="1">
      <c r="A12" s="70" t="s">
        <v>1503</v>
      </c>
      <c r="B12" s="231">
        <f>VLOOKUP($B$1,Data!$A$5:$T$85,8)</f>
        <v>119.31187792999999</v>
      </c>
      <c r="C12" s="170" t="s">
        <v>8</v>
      </c>
      <c r="D12" s="171">
        <f>VLOOKUP($B$1,Data!$A$5:$T$85,15)</f>
        <v>3</v>
      </c>
      <c r="E12" s="31"/>
      <c r="F12" s="178">
        <f>VLOOKUP($F$1,Data!$A$5:$T$85,8)</f>
        <v>2699.7101427300004</v>
      </c>
      <c r="G12" s="170" t="s">
        <v>8</v>
      </c>
      <c r="H12" s="171" t="str">
        <f>VLOOKUP($F$1,Data!$A$5:$T$85,15)</f>
        <v>*</v>
      </c>
      <c r="I12" s="31"/>
      <c r="J12" s="193" t="str">
        <f>IF(B12&gt;F12,CONCATENATE("$",ROUNDUP(B12-F12,1)," million higher "),IF(F12&gt;B12,CONCATENATE("$",ROUNDUP(F12-B12,1)," million lower "),"equal"))</f>
        <v xml:space="preserve">$2580.4 million lower </v>
      </c>
      <c r="K12" s="200" t="str">
        <f t="shared" si="0"/>
        <v xml:space="preserve">96% less </v>
      </c>
      <c r="L12" s="31"/>
    </row>
    <row r="13" spans="1:14" ht="21.75" customHeight="1">
      <c r="A13" s="183" t="s">
        <v>1390</v>
      </c>
      <c r="B13" s="210">
        <f>B12*1000000/365</f>
        <v>326881.85734246572</v>
      </c>
      <c r="C13" s="184"/>
      <c r="D13" s="187" t="s">
        <v>1389</v>
      </c>
      <c r="E13" s="31"/>
      <c r="F13" s="408">
        <f>F12*1000000/365</f>
        <v>7396466.1444657547</v>
      </c>
      <c r="G13" s="408"/>
      <c r="H13" s="187" t="s">
        <v>1389</v>
      </c>
      <c r="I13" s="31"/>
      <c r="J13" s="196" t="str">
        <f>IF(B13&gt;F13,CONCATENATE("$",ROUNDUP(B13-F13,0)," higher "),IF(F13&gt;B13,CONCATENATE("$",ROUNDUP(F13-B13,0)," lower "),"equal"))</f>
        <v xml:space="preserve">$7069585 lower </v>
      </c>
      <c r="K13" s="203" t="str">
        <f t="shared" si="0"/>
        <v xml:space="preserve">96% less </v>
      </c>
      <c r="L13" s="31"/>
    </row>
    <row r="14" spans="1:14" ht="21.75" customHeight="1" thickBot="1">
      <c r="A14" s="234" t="s">
        <v>1504</v>
      </c>
      <c r="B14" s="177">
        <f>VLOOKUP($B$1,Data!$A$5:$T$85,16)</f>
        <v>909.71012870301331</v>
      </c>
      <c r="C14" s="172"/>
      <c r="D14" s="185">
        <f>VLOOKUP($B$1,Data!$A$5:$T$85,17)</f>
        <v>1</v>
      </c>
      <c r="E14" s="31"/>
      <c r="F14" s="177">
        <f>VLOOKUP($F$1,Data!$A$5:$T$85,16)</f>
        <v>530.59248730479067</v>
      </c>
      <c r="G14" s="172"/>
      <c r="H14" s="185" t="str">
        <f>VLOOKUP($F$1,Data!$A$5:$T$85,17)</f>
        <v>*</v>
      </c>
      <c r="I14" s="31"/>
      <c r="J14" s="235" t="str">
        <f>IF(B14&gt;F14,CONCATENATE("$",ROUNDUP(B14-F14,0)," higher "),IF(F14&gt;B14,CONCATENATE("$",ROUNDUP(F14-B14,0)," lower "),"equal"))</f>
        <v xml:space="preserve">$380 higher </v>
      </c>
      <c r="K14" s="236" t="str">
        <f t="shared" si="0"/>
        <v xml:space="preserve">72% greater </v>
      </c>
      <c r="L14" s="31"/>
    </row>
    <row r="15" spans="1:14" ht="21" customHeight="1" thickTop="1" thickBot="1">
      <c r="A15" s="183" t="s">
        <v>1505</v>
      </c>
      <c r="B15" s="267">
        <f>VLOOKUP($B$1,Data!$A$5:$T$85,7)</f>
        <v>3409.825691098777</v>
      </c>
      <c r="C15" s="184"/>
      <c r="D15" s="187"/>
      <c r="E15"/>
      <c r="F15" s="267">
        <f>VLOOKUP($F$1,Data!$A$5:$T$85,7)</f>
        <v>54348.797155657332</v>
      </c>
      <c r="G15"/>
      <c r="H15"/>
      <c r="I15"/>
      <c r="J15"/>
      <c r="K15"/>
      <c r="L15" s="59"/>
    </row>
    <row r="16" spans="1:14" ht="21.75" customHeight="1" thickTop="1" thickBot="1">
      <c r="A16" s="70" t="s">
        <v>1506</v>
      </c>
      <c r="B16" s="224">
        <f>VLOOKUP($B$1,Data!$A$5:$T$85,18)</f>
        <v>-1.7362819851210469</v>
      </c>
      <c r="C16" s="71" t="s">
        <v>9</v>
      </c>
      <c r="D16" s="171">
        <f>VLOOKUP($B$1,Data!$A$5:$T$85,20)</f>
        <v>64</v>
      </c>
      <c r="E16" s="31"/>
      <c r="F16" s="224">
        <f>VLOOKUP($F$1,Data!$A$5:$T$85,18)</f>
        <v>0.16421712477333242</v>
      </c>
      <c r="G16" s="71" t="s">
        <v>9</v>
      </c>
      <c r="H16" s="171" t="str">
        <f>VLOOKUP($F$1,Data!$A$5:$T$85,20)</f>
        <v>*</v>
      </c>
      <c r="I16" s="31"/>
      <c r="J16" s="197" t="str">
        <f>IF(B16&gt;F16,CONCATENATE(ROUNDUP(B16-F16,1)," higher "),IF(F16&gt;B16,CONCATENATE(ROUNDUP(F16-B16,1)," lower "),"equal"))</f>
        <v xml:space="preserve">2 lower </v>
      </c>
      <c r="K16" s="204" t="str">
        <f>IF(B16&gt;F16,CONCATENATE(ROUNDUP((B16-F16)/F16*100,0),"% greater "),IF(F16&gt;B16,CONCATENATE(ROUNDUP((F16-B16)/F16*100,0),"% less "),"equal"))</f>
        <v xml:space="preserve">1158% less </v>
      </c>
      <c r="L16" s="59"/>
    </row>
    <row r="17" spans="1:13" ht="21.75" customHeight="1" thickTop="1">
      <c r="A17" s="14" t="s">
        <v>1420</v>
      </c>
      <c r="B17" s="168">
        <f>VLOOKUP($B$1,Data!$A$5:$T$85,19)</f>
        <v>-3.0146477875696021</v>
      </c>
      <c r="C17" s="2" t="s">
        <v>9</v>
      </c>
      <c r="D17" s="188" t="s">
        <v>1389</v>
      </c>
      <c r="E17" s="31"/>
      <c r="F17" s="168">
        <f>VLOOKUP($F$1,Data!$A$5:$T$85,19)</f>
        <v>-1.1388732974917186</v>
      </c>
      <c r="G17" s="2" t="s">
        <v>9</v>
      </c>
      <c r="H17" s="188" t="s">
        <v>1389</v>
      </c>
      <c r="I17" s="31"/>
      <c r="J17" s="198" t="str">
        <f>IF(B17&gt;F17,CONCATENATE(ROUNDUP(B17-F17,1)," higher "),IF(F17&gt;B17,CONCATENATE(ROUNDUP(F17-B17,1)," lower "),"equal"))</f>
        <v xml:space="preserve">1.9 lower </v>
      </c>
      <c r="K17" s="205" t="str">
        <f>IF(B17&gt;F17,CONCATENATE(ROUNDUP((B17-F17)/F17*100,0),"% greater "),IF(F17&gt;B17,CONCATENATE(ROUNDUP((F17-B17)/F17*100,0),"% less "),"equal"))</f>
        <v xml:space="preserve">-165% less </v>
      </c>
      <c r="L17" s="59"/>
    </row>
    <row r="18" spans="1:13" ht="14.25" customHeight="1">
      <c r="A18" s="393" t="s">
        <v>1507</v>
      </c>
      <c r="B18" s="393"/>
      <c r="C18" s="393"/>
      <c r="D18" s="393"/>
      <c r="E18" s="393"/>
      <c r="F18" s="393"/>
      <c r="G18" s="393"/>
      <c r="H18" s="393"/>
      <c r="I18" s="393"/>
      <c r="J18" s="393"/>
      <c r="K18" s="393"/>
      <c r="L18" s="59"/>
    </row>
    <row r="19" spans="1:13" ht="14.25" customHeight="1">
      <c r="A19" s="393"/>
      <c r="B19" s="393"/>
      <c r="C19" s="393"/>
      <c r="D19" s="393"/>
      <c r="E19" s="393"/>
      <c r="F19" s="393"/>
      <c r="G19" s="393"/>
      <c r="H19" s="393"/>
      <c r="I19" s="393"/>
      <c r="J19" s="393"/>
      <c r="K19" s="393"/>
      <c r="L19" s="59"/>
    </row>
    <row r="20" spans="1:13" ht="24" customHeight="1">
      <c r="A20" s="398" t="s">
        <v>1524</v>
      </c>
      <c r="B20" s="398"/>
      <c r="C20" s="398"/>
      <c r="D20" s="398"/>
      <c r="E20" s="398"/>
      <c r="F20" s="398"/>
      <c r="G20" s="398"/>
      <c r="H20" s="398"/>
      <c r="I20" s="398"/>
      <c r="J20" s="398"/>
      <c r="K20" s="398"/>
      <c r="L20" s="82"/>
    </row>
    <row r="21" spans="1:13" ht="12.75" customHeight="1">
      <c r="A21" s="398" t="s">
        <v>1525</v>
      </c>
      <c r="B21" s="398"/>
      <c r="C21" s="398"/>
      <c r="D21" s="398"/>
      <c r="E21" s="398"/>
      <c r="F21" s="398"/>
      <c r="G21" s="398"/>
      <c r="H21" s="398"/>
      <c r="I21" s="398"/>
      <c r="J21" s="398"/>
      <c r="K21" s="398"/>
      <c r="L21" s="82"/>
    </row>
    <row r="22" spans="1:13" ht="12" customHeight="1">
      <c r="A22" s="398" t="s">
        <v>1526</v>
      </c>
      <c r="B22" s="398"/>
      <c r="C22" s="398"/>
      <c r="D22" s="398"/>
      <c r="E22" s="398"/>
      <c r="F22" s="398"/>
      <c r="G22" s="398"/>
      <c r="H22" s="398"/>
      <c r="I22" s="398"/>
      <c r="J22" s="398"/>
      <c r="K22" s="398"/>
      <c r="L22" s="83"/>
      <c r="M22" s="38"/>
    </row>
    <row r="23" spans="1:13" ht="12" customHeight="1">
      <c r="A23" s="398" t="s">
        <v>1523</v>
      </c>
      <c r="B23" s="398"/>
      <c r="C23" s="398"/>
      <c r="D23" s="398"/>
      <c r="E23" s="398"/>
      <c r="F23" s="398"/>
      <c r="G23" s="398"/>
      <c r="H23" s="398"/>
      <c r="I23" s="398"/>
      <c r="J23" s="398"/>
      <c r="K23" s="398"/>
    </row>
    <row r="24" spans="1:13" ht="12" customHeight="1">
      <c r="A24" s="392" t="s">
        <v>1508</v>
      </c>
      <c r="B24" s="392"/>
      <c r="C24" s="392"/>
      <c r="D24" s="392"/>
      <c r="E24" s="392"/>
      <c r="F24" s="392"/>
      <c r="G24" s="392"/>
      <c r="H24" s="392"/>
      <c r="I24" s="392"/>
      <c r="J24" s="392"/>
      <c r="K24" s="392"/>
    </row>
    <row r="25" spans="1:13" ht="12" customHeight="1"/>
    <row r="26" spans="1:13" ht="12" customHeight="1"/>
    <row r="27" spans="1:13" ht="12" customHeight="1">
      <c r="A27" s="28"/>
      <c r="B27" s="28"/>
      <c r="C27" s="30"/>
      <c r="D27" s="30"/>
      <c r="F27" s="32"/>
      <c r="G27" s="33"/>
      <c r="H27" s="34"/>
      <c r="I27" s="34"/>
      <c r="J27" s="34"/>
      <c r="K27" s="34"/>
    </row>
    <row r="28" spans="1:13" ht="12" customHeight="1">
      <c r="C28" s="7"/>
      <c r="D28" s="7"/>
      <c r="E28" s="31"/>
      <c r="F28" s="32"/>
      <c r="G28" s="33"/>
      <c r="H28" s="34"/>
      <c r="I28" s="34"/>
      <c r="J28" s="34"/>
      <c r="K28" s="34"/>
    </row>
    <row r="29" spans="1:13" ht="12" customHeight="1">
      <c r="C29" s="7"/>
      <c r="D29" s="7"/>
      <c r="E29" s="31"/>
      <c r="F29" s="32"/>
      <c r="G29" s="33"/>
      <c r="H29" s="34"/>
      <c r="I29" s="34"/>
      <c r="J29" s="34"/>
      <c r="K29" s="34"/>
    </row>
    <row r="30" spans="1:13" ht="12" customHeight="1">
      <c r="C30" s="7"/>
      <c r="D30" s="7"/>
      <c r="E30" s="31"/>
      <c r="F30" s="32"/>
      <c r="G30" s="33"/>
      <c r="H30" s="34"/>
      <c r="I30" s="34"/>
      <c r="J30" s="34"/>
      <c r="K30" s="34"/>
    </row>
    <row r="31" spans="1:13" ht="12" customHeight="1">
      <c r="C31" s="7"/>
      <c r="D31" s="7"/>
      <c r="E31" s="31"/>
      <c r="F31" s="32"/>
      <c r="G31" s="33"/>
      <c r="H31" s="34"/>
      <c r="I31" s="34"/>
      <c r="J31" s="34"/>
      <c r="K31" s="34"/>
    </row>
    <row r="32" spans="1:13" ht="12" customHeight="1">
      <c r="C32" s="7"/>
      <c r="D32" s="7"/>
      <c r="E32" s="31"/>
      <c r="F32" s="32"/>
      <c r="G32" s="33"/>
      <c r="H32" s="34"/>
      <c r="I32" s="34"/>
      <c r="J32" s="34"/>
      <c r="K32" s="34"/>
    </row>
    <row r="33" spans="3:11" ht="12" customHeight="1">
      <c r="C33" s="7"/>
      <c r="D33" s="7"/>
      <c r="E33" s="31"/>
      <c r="F33" s="32"/>
      <c r="G33" s="33"/>
      <c r="H33" s="34"/>
      <c r="I33" s="34"/>
      <c r="J33" s="34"/>
      <c r="K33" s="34"/>
    </row>
    <row r="34" spans="3:11" ht="12" customHeight="1">
      <c r="C34" s="7"/>
      <c r="D34" s="7"/>
      <c r="E34" s="31"/>
      <c r="F34" s="32"/>
      <c r="G34" s="33"/>
      <c r="H34" s="34"/>
      <c r="I34" s="34"/>
      <c r="J34" s="34"/>
      <c r="K34" s="34"/>
    </row>
    <row r="35" spans="3:11" ht="12" customHeight="1">
      <c r="C35" s="7"/>
      <c r="D35" s="7"/>
      <c r="E35" s="31"/>
      <c r="F35" s="32"/>
      <c r="G35" s="33"/>
      <c r="H35" s="34"/>
      <c r="I35" s="34"/>
      <c r="J35" s="34"/>
      <c r="K35" s="34"/>
    </row>
    <row r="36" spans="3:11" ht="12" customHeight="1">
      <c r="C36" s="7"/>
      <c r="D36" s="7"/>
      <c r="E36" s="31"/>
      <c r="F36" s="32"/>
      <c r="G36" s="33"/>
      <c r="H36" s="34"/>
      <c r="I36" s="34"/>
      <c r="J36" s="34"/>
      <c r="K36" s="34"/>
    </row>
    <row r="37" spans="3:11" ht="12" customHeight="1">
      <c r="C37" s="7"/>
      <c r="D37" s="7"/>
      <c r="E37" s="31"/>
      <c r="F37" s="32"/>
      <c r="G37" s="33"/>
      <c r="H37" s="34"/>
      <c r="I37" s="34"/>
      <c r="J37" s="34"/>
      <c r="K37" s="34"/>
    </row>
    <row r="38" spans="3:11" ht="12" customHeight="1">
      <c r="C38" s="7"/>
      <c r="D38" s="7"/>
      <c r="E38" s="31"/>
      <c r="F38" s="32"/>
      <c r="G38" s="33"/>
      <c r="H38" s="34"/>
      <c r="I38" s="34"/>
      <c r="J38" s="34"/>
      <c r="K38" s="34"/>
    </row>
    <row r="39" spans="3:11" ht="12" customHeight="1">
      <c r="C39" s="7"/>
      <c r="D39" s="7"/>
      <c r="E39" s="31"/>
      <c r="F39" s="32"/>
      <c r="G39" s="31"/>
      <c r="H39" s="34"/>
      <c r="I39" s="34"/>
      <c r="J39" s="34"/>
      <c r="K39" s="34"/>
    </row>
    <row r="40" spans="3:11" ht="12" customHeight="1">
      <c r="C40" s="7"/>
      <c r="D40" s="7"/>
      <c r="E40" s="31"/>
      <c r="F40" s="32"/>
      <c r="G40" s="33"/>
      <c r="H40" s="34"/>
      <c r="I40" s="34"/>
      <c r="J40" s="34"/>
      <c r="K40" s="34"/>
    </row>
    <row r="41" spans="3:11">
      <c r="C41" s="7"/>
      <c r="D41" s="7"/>
      <c r="E41" s="31"/>
      <c r="F41" s="32"/>
      <c r="G41" s="33"/>
      <c r="H41" s="34"/>
      <c r="I41" s="34"/>
      <c r="J41" s="34"/>
      <c r="K41" s="34"/>
    </row>
    <row r="42" spans="3:11">
      <c r="C42" s="7"/>
      <c r="D42" s="7"/>
      <c r="E42" s="31"/>
      <c r="F42" s="32"/>
      <c r="G42" s="33"/>
      <c r="H42" s="34"/>
      <c r="I42" s="34"/>
      <c r="J42" s="34"/>
      <c r="K42" s="34"/>
    </row>
    <row r="43" spans="3:11">
      <c r="C43" s="7"/>
      <c r="D43" s="7"/>
      <c r="E43" s="31"/>
      <c r="F43" s="32"/>
      <c r="G43" s="33"/>
      <c r="H43" s="34"/>
      <c r="I43" s="34"/>
      <c r="J43" s="34"/>
      <c r="K43" s="34"/>
    </row>
    <row r="44" spans="3:11">
      <c r="C44" s="7"/>
      <c r="D44" s="7"/>
      <c r="E44" s="31"/>
      <c r="F44" s="32"/>
      <c r="G44" s="33"/>
      <c r="H44" s="34"/>
      <c r="I44" s="34"/>
      <c r="J44" s="34"/>
      <c r="K44" s="34"/>
    </row>
    <row r="45" spans="3:11">
      <c r="C45" s="7"/>
      <c r="D45" s="7"/>
      <c r="E45" s="31"/>
      <c r="F45" s="31"/>
      <c r="G45" s="31"/>
      <c r="H45" s="31"/>
      <c r="I45" s="35"/>
      <c r="J45" s="31"/>
      <c r="K45" s="31"/>
    </row>
    <row r="46" spans="3:11">
      <c r="C46" s="7"/>
      <c r="D46" s="7"/>
      <c r="E46" s="31"/>
      <c r="I46" s="29"/>
    </row>
    <row r="47" spans="3:11">
      <c r="C47" s="7"/>
      <c r="D47" s="7"/>
      <c r="E47" s="31"/>
      <c r="I47" s="29"/>
    </row>
    <row r="48" spans="3:11">
      <c r="C48" s="7"/>
      <c r="D48" s="7"/>
      <c r="E48" s="31"/>
    </row>
    <row r="49" spans="3:12">
      <c r="C49" s="7"/>
      <c r="D49" s="7"/>
      <c r="E49" s="31"/>
      <c r="I49" s="29"/>
    </row>
    <row r="50" spans="3:12">
      <c r="C50" s="7"/>
      <c r="D50" s="7"/>
      <c r="E50" s="31"/>
      <c r="F50" s="31"/>
      <c r="G50" s="31"/>
      <c r="H50" s="31"/>
      <c r="I50" s="35"/>
      <c r="J50" s="31"/>
      <c r="K50" s="31"/>
      <c r="L50" s="31"/>
    </row>
    <row r="51" spans="3:12">
      <c r="C51" s="7"/>
      <c r="D51" s="7"/>
      <c r="E51" s="31"/>
      <c r="F51" s="31"/>
      <c r="G51" s="31"/>
      <c r="H51" s="31"/>
      <c r="I51" s="31"/>
      <c r="J51" s="31"/>
      <c r="K51" s="31"/>
      <c r="L51" s="31"/>
    </row>
    <row r="52" spans="3:12">
      <c r="C52" s="7"/>
      <c r="D52" s="7"/>
      <c r="E52" s="31"/>
      <c r="F52" s="31"/>
      <c r="G52" s="31"/>
      <c r="H52" s="31"/>
      <c r="I52" s="31"/>
      <c r="J52" s="31"/>
      <c r="K52" s="31"/>
      <c r="L52" s="31"/>
    </row>
    <row r="53" spans="3:12">
      <c r="C53" s="7"/>
      <c r="D53" s="7"/>
      <c r="E53" s="31"/>
      <c r="F53" s="31"/>
      <c r="G53" s="31"/>
      <c r="H53" s="31"/>
      <c r="I53" s="35"/>
      <c r="J53" s="31"/>
      <c r="K53" s="31"/>
      <c r="L53" s="31"/>
    </row>
    <row r="54" spans="3:12">
      <c r="C54" s="7"/>
      <c r="D54" s="7"/>
      <c r="E54" s="31"/>
      <c r="F54" s="31"/>
      <c r="G54" s="31"/>
      <c r="H54" s="31"/>
      <c r="I54" s="31"/>
      <c r="J54" s="31"/>
      <c r="K54" s="31"/>
      <c r="L54" s="31"/>
    </row>
    <row r="55" spans="3:12">
      <c r="C55" s="7"/>
      <c r="D55" s="7"/>
      <c r="E55" s="31"/>
      <c r="F55" s="31"/>
      <c r="G55" s="31"/>
      <c r="H55" s="31"/>
      <c r="I55" s="35"/>
      <c r="J55" s="31"/>
      <c r="K55" s="31"/>
      <c r="L55" s="31"/>
    </row>
    <row r="56" spans="3:12">
      <c r="C56" s="7"/>
      <c r="D56" s="7"/>
      <c r="E56" s="31"/>
      <c r="F56" s="31"/>
      <c r="G56" s="31"/>
      <c r="H56" s="31"/>
      <c r="I56" s="31"/>
      <c r="J56" s="31"/>
      <c r="K56" s="31"/>
      <c r="L56" s="31"/>
    </row>
    <row r="57" spans="3:12">
      <c r="C57" s="8"/>
      <c r="D57" s="8"/>
      <c r="E57" s="31"/>
      <c r="F57" s="31"/>
      <c r="G57" s="31"/>
      <c r="H57" s="31"/>
      <c r="I57" s="31"/>
      <c r="J57" s="31"/>
      <c r="K57" s="31"/>
      <c r="L57" s="31"/>
    </row>
    <row r="58" spans="3:12">
      <c r="C58" s="8"/>
      <c r="D58" s="8"/>
      <c r="E58" s="31"/>
      <c r="F58" s="31"/>
      <c r="G58" s="31"/>
      <c r="H58" s="31"/>
      <c r="I58" s="35"/>
      <c r="J58" s="31"/>
      <c r="K58" s="31"/>
      <c r="L58" s="31"/>
    </row>
    <row r="59" spans="3:12">
      <c r="C59" s="8"/>
      <c r="D59" s="8"/>
    </row>
    <row r="60" spans="3:12">
      <c r="C60" s="8"/>
      <c r="D60" s="8"/>
    </row>
    <row r="61" spans="3:12">
      <c r="C61" s="7"/>
      <c r="D61" s="7"/>
    </row>
    <row r="62" spans="3:12">
      <c r="C62" s="8"/>
      <c r="D62" s="8"/>
      <c r="I62" s="29"/>
    </row>
    <row r="63" spans="3:12">
      <c r="C63" s="8"/>
      <c r="D63" s="8"/>
      <c r="I63" s="29"/>
    </row>
    <row r="64" spans="3:12">
      <c r="C64" s="7"/>
      <c r="D64" s="7"/>
    </row>
    <row r="65" spans="3:9">
      <c r="C65" s="7"/>
      <c r="D65" s="7"/>
      <c r="I65" s="29"/>
    </row>
    <row r="66" spans="3:9">
      <c r="C66" s="8"/>
      <c r="D66" s="8"/>
      <c r="I66" s="29"/>
    </row>
    <row r="67" spans="3:9">
      <c r="C67" s="8"/>
      <c r="D67" s="8"/>
    </row>
    <row r="68" spans="3:9">
      <c r="C68" s="8"/>
      <c r="D68" s="8"/>
      <c r="I68" s="29"/>
    </row>
    <row r="69" spans="3:9">
      <c r="C69" s="7"/>
      <c r="D69" s="7"/>
      <c r="I69" s="29"/>
    </row>
    <row r="70" spans="3:9">
      <c r="C70" s="8"/>
      <c r="D70" s="8"/>
      <c r="I70" s="29"/>
    </row>
    <row r="71" spans="3:9">
      <c r="C71" s="7"/>
      <c r="D71" s="7"/>
    </row>
    <row r="72" spans="3:9">
      <c r="C72" s="7"/>
      <c r="D72" s="7"/>
      <c r="G72" s="30"/>
      <c r="I72" s="29"/>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mergeCells count="15">
    <mergeCell ref="L1:M2"/>
    <mergeCell ref="F7:G7"/>
    <mergeCell ref="F5:H6"/>
    <mergeCell ref="A5:D6"/>
    <mergeCell ref="F13:G13"/>
    <mergeCell ref="K3:K7"/>
    <mergeCell ref="A24:K24"/>
    <mergeCell ref="A18:K19"/>
    <mergeCell ref="J3:J7"/>
    <mergeCell ref="B3:D4"/>
    <mergeCell ref="B7:C7"/>
    <mergeCell ref="A20:K20"/>
    <mergeCell ref="A21:K21"/>
    <mergeCell ref="A22:K22"/>
    <mergeCell ref="A23:K23"/>
  </mergeCells>
  <phoneticPr fontId="5" type="noConversion"/>
  <conditionalFormatting sqref="A9:D14 A16:D17">
    <cfRule type="expression" dxfId="3" priority="17" stopIfTrue="1">
      <formula>AND($D9&lt;16,$D9&gt;0)</formula>
    </cfRule>
  </conditionalFormatting>
  <conditionalFormatting sqref="D11">
    <cfRule type="expression" dxfId="2" priority="8" stopIfTrue="1">
      <formula>AND($D11&lt;16,$D11&gt;0)</formula>
    </cfRule>
  </conditionalFormatting>
  <conditionalFormatting sqref="A15:D15">
    <cfRule type="expression" dxfId="1" priority="2" stopIfTrue="1">
      <formula>AND($D15&lt;16,$D15&gt;0)</formula>
    </cfRule>
  </conditionalFormatting>
  <conditionalFormatting sqref="F15">
    <cfRule type="expression" dxfId="0" priority="1" stopIfTrue="1">
      <formula>AND($D15&lt;16,$D15&gt;0)</formula>
    </cfRule>
  </conditionalFormatting>
  <hyperlinks>
    <hyperlink ref="L1:M2" location="Front!E1" display="Front!E1" xr:uid="{00000000-0004-0000-0100-000000000000}"/>
  </hyperlinks>
  <pageMargins left="0.78740157480314965" right="0.39370078740157483" top="1.1811023622047245"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219075</xdr:rowOff>
                  </from>
                  <to>
                    <xdr:col>4</xdr:col>
                    <xdr:colOff>0</xdr:colOff>
                    <xdr:row>3</xdr:row>
                    <xdr:rowOff>47625</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104775</xdr:colOff>
                    <xdr:row>1</xdr:row>
                    <xdr:rowOff>219075</xdr:rowOff>
                  </from>
                  <to>
                    <xdr:col>7</xdr:col>
                    <xdr:colOff>504825</xdr:colOff>
                    <xdr:row>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theme="2" tint="-0.749992370372631"/>
  </sheetPr>
  <dimension ref="B1:S553"/>
  <sheetViews>
    <sheetView showGridLines="0" showRowColHeaders="0" zoomScale="90" zoomScaleNormal="90" workbookViewId="0">
      <selection activeCell="G555" sqref="G555"/>
    </sheetView>
  </sheetViews>
  <sheetFormatPr defaultRowHeight="12" customHeight="1"/>
  <cols>
    <col min="1" max="1" width="4.85546875" style="39" customWidth="1"/>
    <col min="2" max="2" width="21.5703125" style="51" customWidth="1"/>
    <col min="3" max="3" width="16.42578125" style="39" customWidth="1"/>
    <col min="4" max="4" width="32.140625" style="39" customWidth="1"/>
    <col min="5" max="6" width="7.5703125" style="52" customWidth="1"/>
    <col min="7" max="7" width="10.42578125" style="52" customWidth="1"/>
    <col min="8" max="8" width="7.5703125" style="52" customWidth="1"/>
    <col min="9" max="9" width="14.28515625" style="39" customWidth="1"/>
    <col min="10" max="10" width="12.85546875" style="39" customWidth="1"/>
    <col min="11" max="11" width="3.5703125" style="65" customWidth="1"/>
    <col min="12" max="12" width="14.7109375" style="65" customWidth="1"/>
    <col min="13" max="14" width="12.42578125" style="65" customWidth="1"/>
    <col min="15" max="15" width="12.42578125" style="66" customWidth="1"/>
    <col min="16" max="16" width="18.5703125" style="73" customWidth="1"/>
    <col min="17" max="18" width="11.140625" style="40" customWidth="1"/>
    <col min="19" max="21" width="11.140625" style="39" customWidth="1"/>
    <col min="22" max="16384" width="9.140625" style="39"/>
  </cols>
  <sheetData>
    <row r="1" spans="2:19" ht="46.5" customHeight="1">
      <c r="B1" s="410" t="s">
        <v>191</v>
      </c>
      <c r="C1" s="410"/>
      <c r="D1" s="410"/>
      <c r="E1" s="410"/>
      <c r="F1" s="410"/>
      <c r="G1" s="410"/>
      <c r="H1" s="410"/>
      <c r="I1" s="410"/>
      <c r="J1" s="410"/>
      <c r="L1" s="53"/>
      <c r="M1" s="53"/>
      <c r="N1" s="53"/>
      <c r="O1" s="54"/>
      <c r="P1" s="72"/>
      <c r="Q1" s="63"/>
      <c r="R1" s="63"/>
      <c r="S1" s="62"/>
    </row>
    <row r="2" spans="2:19" ht="14.25" customHeight="1">
      <c r="B2" s="411" t="s">
        <v>192</v>
      </c>
      <c r="C2" s="411"/>
      <c r="D2" s="411"/>
      <c r="E2" s="41" t="s">
        <v>193</v>
      </c>
      <c r="F2" s="42">
        <f>SUBTOTAL(3,C4:C553)</f>
        <v>15</v>
      </c>
      <c r="G2" s="43">
        <f>SUBTOTAL(9,G4:G553)</f>
        <v>933</v>
      </c>
      <c r="H2" s="44">
        <f>SUBTOTAL(9,H4:H553)</f>
        <v>972</v>
      </c>
      <c r="I2" s="44" t="str">
        <f>CONCATENATE("$",ROUNDUP(SUBTOTAL(9,I4:I553)/1000000,1)," million")</f>
        <v>$110.2 million</v>
      </c>
      <c r="J2" s="60">
        <f>SUBTOTAL(9,I4:I553)/G2</f>
        <v>118043.56121114682</v>
      </c>
      <c r="L2" s="53"/>
      <c r="M2" s="53"/>
      <c r="N2" s="53"/>
      <c r="O2" s="54"/>
      <c r="P2" s="72"/>
      <c r="Q2" s="63"/>
      <c r="R2" s="63"/>
      <c r="S2" s="62"/>
    </row>
    <row r="3" spans="2:19" ht="25.5" customHeight="1">
      <c r="B3" s="56" t="s">
        <v>194</v>
      </c>
      <c r="C3" s="56" t="s">
        <v>182</v>
      </c>
      <c r="D3" s="56" t="s">
        <v>195</v>
      </c>
      <c r="E3" s="45" t="s">
        <v>196</v>
      </c>
      <c r="F3" s="45" t="s">
        <v>197</v>
      </c>
      <c r="G3" s="45" t="s">
        <v>198</v>
      </c>
      <c r="H3" s="45" t="s">
        <v>199</v>
      </c>
      <c r="I3" s="45" t="s">
        <v>200</v>
      </c>
      <c r="J3" s="57" t="s">
        <v>201</v>
      </c>
      <c r="L3" s="53"/>
      <c r="M3" s="53"/>
      <c r="N3" s="53"/>
      <c r="O3" s="54"/>
      <c r="P3" s="412"/>
      <c r="Q3" s="412"/>
      <c r="R3" s="412"/>
      <c r="S3" s="62"/>
    </row>
    <row r="4" spans="2:19" ht="12" hidden="1" customHeight="1">
      <c r="B4" s="46" t="s">
        <v>203</v>
      </c>
      <c r="C4" s="47" t="s">
        <v>204</v>
      </c>
      <c r="D4" s="47" t="s">
        <v>154</v>
      </c>
      <c r="E4" s="48" t="s">
        <v>183</v>
      </c>
      <c r="F4" s="48" t="s">
        <v>184</v>
      </c>
      <c r="G4" s="48">
        <v>55</v>
      </c>
      <c r="H4" s="48">
        <v>59</v>
      </c>
      <c r="I4" s="49">
        <v>1835802.81</v>
      </c>
      <c r="J4" s="49">
        <f>IF(I4&gt;0,I4/G4,"")</f>
        <v>33378.232909090912</v>
      </c>
      <c r="K4" s="65">
        <v>1</v>
      </c>
      <c r="L4" s="53"/>
      <c r="M4" s="53" t="s">
        <v>198</v>
      </c>
      <c r="N4" s="53" t="s">
        <v>199</v>
      </c>
      <c r="O4" s="54" t="s">
        <v>193</v>
      </c>
      <c r="P4" s="72"/>
      <c r="Q4" s="63"/>
      <c r="R4" s="63"/>
      <c r="S4" s="62"/>
    </row>
    <row r="5" spans="2:19" ht="12" customHeight="1">
      <c r="B5" s="46" t="s">
        <v>205</v>
      </c>
      <c r="C5" s="47" t="s">
        <v>206</v>
      </c>
      <c r="D5" s="47" t="s">
        <v>128</v>
      </c>
      <c r="E5" s="48" t="s">
        <v>183</v>
      </c>
      <c r="F5" s="48" t="s">
        <v>184</v>
      </c>
      <c r="G5" s="48">
        <v>77</v>
      </c>
      <c r="H5" s="48">
        <v>77</v>
      </c>
      <c r="I5" s="49">
        <v>3499636.99</v>
      </c>
      <c r="J5" s="49">
        <f t="shared" ref="J5:J68" si="0">IF(I5&gt;0,I5/G5,"")</f>
        <v>45449.831038961041</v>
      </c>
      <c r="K5" s="65">
        <v>1</v>
      </c>
      <c r="L5" s="55" t="s">
        <v>103</v>
      </c>
      <c r="M5" s="53">
        <f>SUMIF(D$4:D$544,L5,G$4:G$544)</f>
        <v>63</v>
      </c>
      <c r="N5" s="53">
        <f>SUMIF(D$4:D$544,L5,H$4:H$544)</f>
        <v>63</v>
      </c>
      <c r="O5" s="54">
        <f>SUMIF(D$4:D$544,L5,K$4:K$544)</f>
        <v>3</v>
      </c>
      <c r="P5" s="72"/>
      <c r="Q5" s="63"/>
      <c r="R5" s="63"/>
      <c r="S5" s="62"/>
    </row>
    <row r="6" spans="2:19" ht="12" hidden="1" customHeight="1">
      <c r="B6" s="46" t="s">
        <v>207</v>
      </c>
      <c r="C6" s="47" t="s">
        <v>208</v>
      </c>
      <c r="D6" s="47" t="s">
        <v>120</v>
      </c>
      <c r="E6" s="48" t="s">
        <v>185</v>
      </c>
      <c r="F6" s="48" t="s">
        <v>184</v>
      </c>
      <c r="G6" s="48">
        <v>50</v>
      </c>
      <c r="H6" s="48">
        <v>65</v>
      </c>
      <c r="I6" s="49">
        <v>5168492.1100000003</v>
      </c>
      <c r="J6" s="49">
        <f t="shared" si="0"/>
        <v>103369.84220000001</v>
      </c>
      <c r="K6" s="65">
        <v>1</v>
      </c>
      <c r="L6" s="55" t="s">
        <v>190</v>
      </c>
      <c r="M6" s="53">
        <f t="shared" ref="M6:M69" si="1">SUMIF(D$4:D$544,L6,G$4:G$544)</f>
        <v>88</v>
      </c>
      <c r="N6" s="53">
        <f t="shared" ref="N6:N69" si="2">SUMIF(D$4:D$544,L6,H$4:H$544)</f>
        <v>88</v>
      </c>
      <c r="O6" s="54">
        <f t="shared" ref="O6:O69" si="3">SUMIF(D$4:D$544,L6,K$4:K$544)</f>
        <v>2</v>
      </c>
      <c r="P6" s="72"/>
      <c r="Q6" s="63"/>
      <c r="R6" s="63"/>
      <c r="S6" s="62"/>
    </row>
    <row r="7" spans="2:19" ht="12" customHeight="1">
      <c r="B7" s="46" t="s">
        <v>209</v>
      </c>
      <c r="C7" s="47" t="s">
        <v>210</v>
      </c>
      <c r="D7" s="47" t="s">
        <v>128</v>
      </c>
      <c r="E7" s="48" t="s">
        <v>185</v>
      </c>
      <c r="F7" s="48" t="s">
        <v>184</v>
      </c>
      <c r="G7" s="48">
        <v>24</v>
      </c>
      <c r="H7" s="48">
        <v>24</v>
      </c>
      <c r="I7" s="49">
        <v>2634386.4300000002</v>
      </c>
      <c r="J7" s="49">
        <f t="shared" si="0"/>
        <v>109766.10125000001</v>
      </c>
      <c r="K7" s="65">
        <v>1</v>
      </c>
      <c r="L7" s="55" t="s">
        <v>105</v>
      </c>
      <c r="M7" s="53">
        <f t="shared" si="1"/>
        <v>558</v>
      </c>
      <c r="N7" s="53">
        <f t="shared" si="2"/>
        <v>580</v>
      </c>
      <c r="O7" s="54">
        <f t="shared" si="3"/>
        <v>14</v>
      </c>
      <c r="P7" s="72"/>
      <c r="Q7" s="63"/>
      <c r="R7" s="63"/>
      <c r="S7" s="62"/>
    </row>
    <row r="8" spans="2:19" ht="12" hidden="1" customHeight="1">
      <c r="B8" s="46" t="s">
        <v>211</v>
      </c>
      <c r="C8" s="47" t="s">
        <v>212</v>
      </c>
      <c r="D8" s="47" t="s">
        <v>35</v>
      </c>
      <c r="E8" s="48" t="s">
        <v>183</v>
      </c>
      <c r="F8" s="48" t="s">
        <v>183</v>
      </c>
      <c r="G8" s="48">
        <v>35</v>
      </c>
      <c r="H8" s="48">
        <v>35</v>
      </c>
      <c r="I8" s="49">
        <v>2400629.69</v>
      </c>
      <c r="J8" s="49">
        <f t="shared" si="0"/>
        <v>68589.419714285716</v>
      </c>
      <c r="K8" s="65">
        <v>1</v>
      </c>
      <c r="L8" s="55" t="s">
        <v>106</v>
      </c>
      <c r="M8" s="53">
        <f t="shared" si="1"/>
        <v>620</v>
      </c>
      <c r="N8" s="53">
        <f t="shared" si="2"/>
        <v>657</v>
      </c>
      <c r="O8" s="54">
        <f t="shared" si="3"/>
        <v>11</v>
      </c>
      <c r="P8" s="72"/>
      <c r="Q8" s="63"/>
      <c r="R8" s="63"/>
      <c r="S8" s="62"/>
    </row>
    <row r="9" spans="2:19" ht="12" hidden="1" customHeight="1">
      <c r="B9" s="46" t="s">
        <v>213</v>
      </c>
      <c r="C9" s="47" t="s">
        <v>214</v>
      </c>
      <c r="D9" s="47" t="s">
        <v>127</v>
      </c>
      <c r="E9" s="48" t="s">
        <v>185</v>
      </c>
      <c r="F9" s="48" t="s">
        <v>183</v>
      </c>
      <c r="G9" s="48">
        <v>100</v>
      </c>
      <c r="H9" s="48">
        <v>100</v>
      </c>
      <c r="I9" s="49">
        <v>9399889.3800000008</v>
      </c>
      <c r="J9" s="49">
        <f t="shared" si="0"/>
        <v>93998.893800000005</v>
      </c>
      <c r="K9" s="65">
        <v>1</v>
      </c>
      <c r="L9" s="55" t="s">
        <v>107</v>
      </c>
      <c r="M9" s="53">
        <f t="shared" si="1"/>
        <v>216</v>
      </c>
      <c r="N9" s="53">
        <f t="shared" si="2"/>
        <v>240</v>
      </c>
      <c r="O9" s="54">
        <f t="shared" si="3"/>
        <v>8</v>
      </c>
      <c r="P9" s="72"/>
      <c r="Q9" s="63"/>
      <c r="R9" s="63"/>
      <c r="S9" s="62"/>
    </row>
    <row r="10" spans="2:19" ht="12" hidden="1" customHeight="1">
      <c r="B10" s="46" t="s">
        <v>215</v>
      </c>
      <c r="C10" s="47" t="s">
        <v>216</v>
      </c>
      <c r="D10" s="47" t="s">
        <v>124</v>
      </c>
      <c r="E10" s="48" t="s">
        <v>183</v>
      </c>
      <c r="F10" s="48" t="s">
        <v>184</v>
      </c>
      <c r="G10" s="48">
        <v>0</v>
      </c>
      <c r="H10" s="48">
        <v>26</v>
      </c>
      <c r="I10" s="49">
        <v>0</v>
      </c>
      <c r="J10" s="49" t="str">
        <f t="shared" si="0"/>
        <v/>
      </c>
      <c r="K10" s="65">
        <v>1</v>
      </c>
      <c r="L10" s="55" t="s">
        <v>108</v>
      </c>
      <c r="M10" s="53">
        <f t="shared" si="1"/>
        <v>198</v>
      </c>
      <c r="N10" s="53">
        <f t="shared" si="2"/>
        <v>198</v>
      </c>
      <c r="O10" s="54">
        <f t="shared" si="3"/>
        <v>4</v>
      </c>
      <c r="P10" s="72"/>
      <c r="Q10" s="63"/>
      <c r="R10" s="63"/>
      <c r="S10" s="62"/>
    </row>
    <row r="11" spans="2:19" ht="12" hidden="1" customHeight="1">
      <c r="B11" s="46" t="s">
        <v>217</v>
      </c>
      <c r="C11" s="47" t="s">
        <v>218</v>
      </c>
      <c r="D11" s="47" t="s">
        <v>133</v>
      </c>
      <c r="E11" s="48" t="s">
        <v>183</v>
      </c>
      <c r="F11" s="48" t="s">
        <v>184</v>
      </c>
      <c r="G11" s="48">
        <v>37</v>
      </c>
      <c r="H11" s="48">
        <v>37</v>
      </c>
      <c r="I11" s="49">
        <v>1987671.29</v>
      </c>
      <c r="J11" s="49">
        <f t="shared" si="0"/>
        <v>53720.845675675679</v>
      </c>
      <c r="K11" s="65">
        <v>1</v>
      </c>
      <c r="L11" s="55" t="s">
        <v>109</v>
      </c>
      <c r="M11" s="53">
        <f t="shared" si="1"/>
        <v>268</v>
      </c>
      <c r="N11" s="53">
        <f t="shared" si="2"/>
        <v>285</v>
      </c>
      <c r="O11" s="54">
        <f t="shared" si="3"/>
        <v>7</v>
      </c>
      <c r="P11" s="72"/>
      <c r="Q11" s="63"/>
      <c r="R11" s="63"/>
      <c r="S11" s="62"/>
    </row>
    <row r="12" spans="2:19" ht="12" hidden="1" customHeight="1">
      <c r="B12" s="46" t="s">
        <v>219</v>
      </c>
      <c r="C12" s="47" t="s">
        <v>220</v>
      </c>
      <c r="D12" s="47" t="s">
        <v>133</v>
      </c>
      <c r="E12" s="48" t="s">
        <v>183</v>
      </c>
      <c r="F12" s="48" t="s">
        <v>184</v>
      </c>
      <c r="G12" s="48">
        <v>58</v>
      </c>
      <c r="H12" s="48">
        <v>58</v>
      </c>
      <c r="I12" s="49">
        <v>3159364.47</v>
      </c>
      <c r="J12" s="49">
        <f t="shared" si="0"/>
        <v>54471.801206896555</v>
      </c>
      <c r="K12" s="65">
        <v>1</v>
      </c>
      <c r="L12" s="55" t="s">
        <v>110</v>
      </c>
      <c r="M12" s="53">
        <f t="shared" si="1"/>
        <v>105</v>
      </c>
      <c r="N12" s="53">
        <f t="shared" si="2"/>
        <v>105</v>
      </c>
      <c r="O12" s="54">
        <f t="shared" si="3"/>
        <v>3</v>
      </c>
      <c r="P12" s="72"/>
      <c r="Q12" s="63"/>
      <c r="R12" s="63"/>
      <c r="S12" s="62"/>
    </row>
    <row r="13" spans="2:19" ht="12" hidden="1" customHeight="1">
      <c r="B13" s="46" t="s">
        <v>221</v>
      </c>
      <c r="C13" s="47" t="s">
        <v>222</v>
      </c>
      <c r="D13" s="47" t="s">
        <v>133</v>
      </c>
      <c r="E13" s="48" t="s">
        <v>183</v>
      </c>
      <c r="F13" s="48" t="s">
        <v>184</v>
      </c>
      <c r="G13" s="48">
        <v>83</v>
      </c>
      <c r="H13" s="48">
        <v>83</v>
      </c>
      <c r="I13" s="49">
        <v>3856172.73</v>
      </c>
      <c r="J13" s="49">
        <f t="shared" si="0"/>
        <v>46459.912409638557</v>
      </c>
      <c r="K13" s="65">
        <v>1</v>
      </c>
      <c r="L13" s="55" t="s">
        <v>111</v>
      </c>
      <c r="M13" s="53">
        <f t="shared" si="1"/>
        <v>205</v>
      </c>
      <c r="N13" s="53">
        <f t="shared" si="2"/>
        <v>213</v>
      </c>
      <c r="O13" s="54">
        <f t="shared" si="3"/>
        <v>5</v>
      </c>
      <c r="P13" s="72"/>
      <c r="Q13" s="63"/>
      <c r="R13" s="63"/>
      <c r="S13" s="62"/>
    </row>
    <row r="14" spans="2:19" ht="12" hidden="1" customHeight="1">
      <c r="B14" s="46" t="s">
        <v>223</v>
      </c>
      <c r="C14" s="47" t="s">
        <v>187</v>
      </c>
      <c r="D14" s="47" t="s">
        <v>114</v>
      </c>
      <c r="E14" s="48" t="s">
        <v>185</v>
      </c>
      <c r="F14" s="48" t="s">
        <v>183</v>
      </c>
      <c r="G14" s="48">
        <v>42</v>
      </c>
      <c r="H14" s="48">
        <v>42</v>
      </c>
      <c r="I14" s="49">
        <v>745671.13</v>
      </c>
      <c r="J14" s="49">
        <f t="shared" si="0"/>
        <v>17754.074523809522</v>
      </c>
      <c r="K14" s="65">
        <v>1</v>
      </c>
      <c r="L14" s="55" t="s">
        <v>112</v>
      </c>
      <c r="M14" s="53">
        <f t="shared" si="1"/>
        <v>946</v>
      </c>
      <c r="N14" s="53">
        <f t="shared" si="2"/>
        <v>976</v>
      </c>
      <c r="O14" s="54">
        <f t="shared" si="3"/>
        <v>15</v>
      </c>
      <c r="P14" s="72"/>
      <c r="Q14" s="63"/>
      <c r="R14" s="63"/>
      <c r="S14" s="62"/>
    </row>
    <row r="15" spans="2:19" ht="12" hidden="1" customHeight="1">
      <c r="B15" s="46" t="s">
        <v>224</v>
      </c>
      <c r="C15" s="47" t="s">
        <v>225</v>
      </c>
      <c r="D15" s="47" t="s">
        <v>116</v>
      </c>
      <c r="E15" s="48" t="s">
        <v>183</v>
      </c>
      <c r="F15" s="48" t="s">
        <v>184</v>
      </c>
      <c r="G15" s="48">
        <v>80</v>
      </c>
      <c r="H15" s="48">
        <v>80</v>
      </c>
      <c r="I15" s="49">
        <v>6004907.3899999997</v>
      </c>
      <c r="J15" s="49">
        <f t="shared" si="0"/>
        <v>75061.342374999993</v>
      </c>
      <c r="K15" s="65">
        <v>1</v>
      </c>
      <c r="L15" s="55" t="s">
        <v>113</v>
      </c>
      <c r="M15" s="53">
        <f t="shared" si="1"/>
        <v>0</v>
      </c>
      <c r="N15" s="53">
        <f t="shared" si="2"/>
        <v>0</v>
      </c>
      <c r="O15" s="54">
        <f t="shared" si="3"/>
        <v>0</v>
      </c>
      <c r="P15" s="72"/>
      <c r="Q15" s="63"/>
      <c r="R15" s="63"/>
      <c r="S15" s="62"/>
    </row>
    <row r="16" spans="2:19" ht="12" hidden="1" customHeight="1">
      <c r="B16" s="46" t="s">
        <v>226</v>
      </c>
      <c r="C16" s="47" t="s">
        <v>227</v>
      </c>
      <c r="D16" s="47" t="s">
        <v>166</v>
      </c>
      <c r="E16" s="48" t="s">
        <v>185</v>
      </c>
      <c r="F16" s="48" t="s">
        <v>184</v>
      </c>
      <c r="G16" s="48">
        <v>45</v>
      </c>
      <c r="H16" s="48">
        <v>45</v>
      </c>
      <c r="I16" s="49">
        <v>4125998.98</v>
      </c>
      <c r="J16" s="49">
        <f t="shared" si="0"/>
        <v>91688.866222222219</v>
      </c>
      <c r="K16" s="65">
        <v>1</v>
      </c>
      <c r="L16" s="55" t="s">
        <v>114</v>
      </c>
      <c r="M16" s="53">
        <f t="shared" si="1"/>
        <v>209</v>
      </c>
      <c r="N16" s="53">
        <f t="shared" si="2"/>
        <v>209</v>
      </c>
      <c r="O16" s="54">
        <f t="shared" si="3"/>
        <v>4</v>
      </c>
      <c r="P16" s="72"/>
      <c r="Q16" s="63"/>
      <c r="R16" s="63"/>
      <c r="S16" s="62"/>
    </row>
    <row r="17" spans="2:19" ht="12" hidden="1" customHeight="1">
      <c r="B17" s="46" t="s">
        <v>228</v>
      </c>
      <c r="C17" s="47" t="s">
        <v>229</v>
      </c>
      <c r="D17" s="47" t="s">
        <v>144</v>
      </c>
      <c r="E17" s="48" t="s">
        <v>185</v>
      </c>
      <c r="F17" s="48" t="s">
        <v>184</v>
      </c>
      <c r="G17" s="48">
        <v>0</v>
      </c>
      <c r="H17" s="48">
        <v>0</v>
      </c>
      <c r="I17" s="49">
        <v>0</v>
      </c>
      <c r="J17" s="49" t="str">
        <f t="shared" si="0"/>
        <v/>
      </c>
      <c r="K17" s="65">
        <v>1</v>
      </c>
      <c r="L17" s="55" t="s">
        <v>115</v>
      </c>
      <c r="M17" s="53">
        <f t="shared" si="1"/>
        <v>193</v>
      </c>
      <c r="N17" s="53">
        <f t="shared" si="2"/>
        <v>193</v>
      </c>
      <c r="O17" s="54">
        <f t="shared" si="3"/>
        <v>5</v>
      </c>
      <c r="P17" s="72"/>
      <c r="Q17" s="63"/>
      <c r="R17" s="63"/>
      <c r="S17" s="62"/>
    </row>
    <row r="18" spans="2:19" ht="12" hidden="1" customHeight="1">
      <c r="B18" s="46" t="s">
        <v>230</v>
      </c>
      <c r="C18" s="47" t="s">
        <v>231</v>
      </c>
      <c r="D18" s="47" t="s">
        <v>168</v>
      </c>
      <c r="E18" s="48" t="s">
        <v>183</v>
      </c>
      <c r="F18" s="48" t="s">
        <v>183</v>
      </c>
      <c r="G18" s="48">
        <v>34</v>
      </c>
      <c r="H18" s="48">
        <v>34</v>
      </c>
      <c r="I18" s="49">
        <v>878730.66</v>
      </c>
      <c r="J18" s="49">
        <f t="shared" si="0"/>
        <v>25845.019411764708</v>
      </c>
      <c r="K18" s="65">
        <v>1</v>
      </c>
      <c r="L18" s="55" t="s">
        <v>116</v>
      </c>
      <c r="M18" s="53">
        <f t="shared" si="1"/>
        <v>888</v>
      </c>
      <c r="N18" s="53">
        <f t="shared" si="2"/>
        <v>924</v>
      </c>
      <c r="O18" s="54">
        <f t="shared" si="3"/>
        <v>14</v>
      </c>
      <c r="P18" s="72"/>
      <c r="Q18" s="63"/>
      <c r="R18" s="63"/>
      <c r="S18" s="62"/>
    </row>
    <row r="19" spans="2:19" ht="12" hidden="1" customHeight="1">
      <c r="B19" s="46" t="s">
        <v>232</v>
      </c>
      <c r="C19" s="47" t="s">
        <v>233</v>
      </c>
      <c r="D19" s="47" t="s">
        <v>190</v>
      </c>
      <c r="E19" s="48" t="s">
        <v>183</v>
      </c>
      <c r="F19" s="48" t="s">
        <v>183</v>
      </c>
      <c r="G19" s="48">
        <v>55</v>
      </c>
      <c r="H19" s="48">
        <v>55</v>
      </c>
      <c r="I19" s="49">
        <v>4086594.27</v>
      </c>
      <c r="J19" s="49">
        <f t="shared" si="0"/>
        <v>74301.714000000007</v>
      </c>
      <c r="K19" s="65">
        <v>1</v>
      </c>
      <c r="L19" s="55" t="s">
        <v>26</v>
      </c>
      <c r="M19" s="53">
        <f t="shared" si="1"/>
        <v>99</v>
      </c>
      <c r="N19" s="53">
        <f t="shared" si="2"/>
        <v>99</v>
      </c>
      <c r="O19" s="54">
        <f t="shared" si="3"/>
        <v>2</v>
      </c>
      <c r="P19" s="72"/>
      <c r="Q19" s="63"/>
      <c r="R19" s="63"/>
      <c r="S19" s="62"/>
    </row>
    <row r="20" spans="2:19" ht="12" hidden="1" customHeight="1">
      <c r="B20" s="46" t="s">
        <v>234</v>
      </c>
      <c r="C20" s="47" t="s">
        <v>235</v>
      </c>
      <c r="D20" s="47" t="s">
        <v>144</v>
      </c>
      <c r="E20" s="48" t="s">
        <v>185</v>
      </c>
      <c r="F20" s="48" t="s">
        <v>184</v>
      </c>
      <c r="G20" s="48">
        <v>50</v>
      </c>
      <c r="H20" s="48">
        <v>50</v>
      </c>
      <c r="I20" s="49">
        <v>9815908.3900000006</v>
      </c>
      <c r="J20" s="49">
        <f t="shared" si="0"/>
        <v>196318.16780000002</v>
      </c>
      <c r="K20" s="65">
        <v>1</v>
      </c>
      <c r="L20" s="55" t="s">
        <v>118</v>
      </c>
      <c r="M20" s="53">
        <f t="shared" si="1"/>
        <v>110</v>
      </c>
      <c r="N20" s="53">
        <f t="shared" si="2"/>
        <v>110</v>
      </c>
      <c r="O20" s="54">
        <f t="shared" si="3"/>
        <v>5</v>
      </c>
      <c r="P20" s="72"/>
      <c r="Q20" s="63"/>
      <c r="R20" s="63"/>
      <c r="S20" s="62"/>
    </row>
    <row r="21" spans="2:19" ht="12" hidden="1" customHeight="1">
      <c r="B21" s="46" t="s">
        <v>236</v>
      </c>
      <c r="C21" s="47" t="s">
        <v>237</v>
      </c>
      <c r="D21" s="47" t="s">
        <v>137</v>
      </c>
      <c r="E21" s="48" t="s">
        <v>183</v>
      </c>
      <c r="F21" s="48" t="s">
        <v>184</v>
      </c>
      <c r="G21" s="48">
        <v>0</v>
      </c>
      <c r="H21" s="48">
        <v>49</v>
      </c>
      <c r="I21" s="49">
        <v>0</v>
      </c>
      <c r="J21" s="49" t="str">
        <f t="shared" si="0"/>
        <v/>
      </c>
      <c r="K21" s="65">
        <v>1</v>
      </c>
      <c r="L21" s="55" t="s">
        <v>27</v>
      </c>
      <c r="M21" s="53">
        <f t="shared" si="1"/>
        <v>57</v>
      </c>
      <c r="N21" s="53">
        <f t="shared" si="2"/>
        <v>57</v>
      </c>
      <c r="O21" s="54">
        <f t="shared" si="3"/>
        <v>2</v>
      </c>
      <c r="P21" s="72"/>
      <c r="Q21" s="63"/>
      <c r="R21" s="63"/>
      <c r="S21" s="62"/>
    </row>
    <row r="22" spans="2:19" ht="12" hidden="1" customHeight="1">
      <c r="B22" s="46" t="s">
        <v>238</v>
      </c>
      <c r="C22" s="47" t="s">
        <v>239</v>
      </c>
      <c r="D22" s="47" t="s">
        <v>118</v>
      </c>
      <c r="E22" s="48" t="s">
        <v>185</v>
      </c>
      <c r="F22" s="48" t="s">
        <v>183</v>
      </c>
      <c r="G22" s="48">
        <v>23</v>
      </c>
      <c r="H22" s="48">
        <v>23</v>
      </c>
      <c r="I22" s="49">
        <v>1604419.07</v>
      </c>
      <c r="J22" s="49">
        <f t="shared" si="0"/>
        <v>69757.350869565227</v>
      </c>
      <c r="K22" s="65">
        <v>1</v>
      </c>
      <c r="L22" s="55" t="s">
        <v>120</v>
      </c>
      <c r="M22" s="53">
        <f t="shared" si="1"/>
        <v>787</v>
      </c>
      <c r="N22" s="53">
        <f t="shared" si="2"/>
        <v>963</v>
      </c>
      <c r="O22" s="54">
        <f t="shared" si="3"/>
        <v>15</v>
      </c>
      <c r="P22" s="72"/>
      <c r="Q22" s="63"/>
      <c r="R22" s="63"/>
      <c r="S22" s="62"/>
    </row>
    <row r="23" spans="2:19" ht="12" hidden="1" customHeight="1">
      <c r="B23" s="46" t="s">
        <v>240</v>
      </c>
      <c r="C23" s="47" t="s">
        <v>241</v>
      </c>
      <c r="D23" s="47" t="s">
        <v>144</v>
      </c>
      <c r="E23" s="48" t="s">
        <v>183</v>
      </c>
      <c r="F23" s="48" t="s">
        <v>184</v>
      </c>
      <c r="G23" s="48">
        <v>0</v>
      </c>
      <c r="H23" s="48">
        <v>0</v>
      </c>
      <c r="I23" s="49">
        <v>0</v>
      </c>
      <c r="J23" s="49" t="str">
        <f t="shared" si="0"/>
        <v/>
      </c>
      <c r="K23" s="65">
        <v>1</v>
      </c>
      <c r="L23" s="55" t="s">
        <v>121</v>
      </c>
      <c r="M23" s="53">
        <f t="shared" si="1"/>
        <v>332</v>
      </c>
      <c r="N23" s="53">
        <f t="shared" si="2"/>
        <v>354</v>
      </c>
      <c r="O23" s="54">
        <f t="shared" si="3"/>
        <v>10</v>
      </c>
      <c r="P23" s="72"/>
      <c r="Q23" s="63"/>
      <c r="R23" s="63"/>
      <c r="S23" s="62"/>
    </row>
    <row r="24" spans="2:19" ht="12" hidden="1" customHeight="1">
      <c r="B24" s="46" t="s">
        <v>242</v>
      </c>
      <c r="C24" s="47" t="s">
        <v>243</v>
      </c>
      <c r="D24" s="47" t="s">
        <v>129</v>
      </c>
      <c r="E24" s="48" t="s">
        <v>183</v>
      </c>
      <c r="F24" s="48" t="s">
        <v>183</v>
      </c>
      <c r="G24" s="48">
        <v>30</v>
      </c>
      <c r="H24" s="48">
        <v>30</v>
      </c>
      <c r="I24" s="49">
        <v>3649726.18</v>
      </c>
      <c r="J24" s="49">
        <f t="shared" si="0"/>
        <v>121657.53933333333</v>
      </c>
      <c r="K24" s="65">
        <v>1</v>
      </c>
      <c r="L24" s="55" t="s">
        <v>122</v>
      </c>
      <c r="M24" s="53">
        <f t="shared" si="1"/>
        <v>534</v>
      </c>
      <c r="N24" s="53">
        <f t="shared" si="2"/>
        <v>591</v>
      </c>
      <c r="O24" s="54">
        <f t="shared" si="3"/>
        <v>10</v>
      </c>
      <c r="P24" s="72"/>
      <c r="Q24" s="63"/>
      <c r="R24" s="63"/>
      <c r="S24" s="62"/>
    </row>
    <row r="25" spans="2:19" ht="12" hidden="1" customHeight="1">
      <c r="B25" s="46" t="s">
        <v>244</v>
      </c>
      <c r="C25" s="47" t="s">
        <v>245</v>
      </c>
      <c r="D25" s="47" t="s">
        <v>153</v>
      </c>
      <c r="E25" s="48" t="s">
        <v>183</v>
      </c>
      <c r="F25" s="48" t="s">
        <v>183</v>
      </c>
      <c r="G25" s="48">
        <v>30</v>
      </c>
      <c r="H25" s="48">
        <v>30</v>
      </c>
      <c r="I25" s="49">
        <v>1181009.96</v>
      </c>
      <c r="J25" s="49">
        <f t="shared" si="0"/>
        <v>39366.998666666666</v>
      </c>
      <c r="K25" s="65">
        <v>1</v>
      </c>
      <c r="L25" s="55" t="s">
        <v>28</v>
      </c>
      <c r="M25" s="53">
        <f t="shared" si="1"/>
        <v>45</v>
      </c>
      <c r="N25" s="53">
        <f t="shared" si="2"/>
        <v>45</v>
      </c>
      <c r="O25" s="54">
        <f t="shared" si="3"/>
        <v>1</v>
      </c>
      <c r="P25" s="72"/>
      <c r="Q25" s="63"/>
      <c r="R25" s="63"/>
      <c r="S25" s="62"/>
    </row>
    <row r="26" spans="2:19" ht="12" hidden="1" customHeight="1">
      <c r="B26" s="46" t="s">
        <v>246</v>
      </c>
      <c r="C26" s="47" t="s">
        <v>247</v>
      </c>
      <c r="D26" s="47" t="s">
        <v>121</v>
      </c>
      <c r="E26" s="48" t="s">
        <v>183</v>
      </c>
      <c r="F26" s="48" t="s">
        <v>183</v>
      </c>
      <c r="G26" s="48">
        <v>26</v>
      </c>
      <c r="H26" s="48">
        <v>26</v>
      </c>
      <c r="I26" s="49">
        <v>1564958.51</v>
      </c>
      <c r="J26" s="49">
        <f t="shared" si="0"/>
        <v>60190.711923076924</v>
      </c>
      <c r="K26" s="65">
        <v>1</v>
      </c>
      <c r="L26" s="55" t="s">
        <v>124</v>
      </c>
      <c r="M26" s="53">
        <f t="shared" si="1"/>
        <v>672</v>
      </c>
      <c r="N26" s="53">
        <f t="shared" si="2"/>
        <v>715</v>
      </c>
      <c r="O26" s="54">
        <f t="shared" si="3"/>
        <v>11</v>
      </c>
      <c r="P26" s="72"/>
      <c r="Q26" s="63"/>
      <c r="R26" s="63"/>
      <c r="S26" s="62"/>
    </row>
    <row r="27" spans="2:19" ht="12" hidden="1" customHeight="1">
      <c r="B27" s="46" t="s">
        <v>248</v>
      </c>
      <c r="C27" s="47" t="s">
        <v>249</v>
      </c>
      <c r="D27" s="47" t="s">
        <v>121</v>
      </c>
      <c r="E27" s="48" t="s">
        <v>183</v>
      </c>
      <c r="F27" s="48" t="s">
        <v>183</v>
      </c>
      <c r="G27" s="48">
        <v>15</v>
      </c>
      <c r="H27" s="48">
        <v>15</v>
      </c>
      <c r="I27" s="49">
        <v>866459.14</v>
      </c>
      <c r="J27" s="49">
        <f t="shared" si="0"/>
        <v>57763.94266666667</v>
      </c>
      <c r="K27" s="65">
        <v>1</v>
      </c>
      <c r="L27" s="55" t="s">
        <v>125</v>
      </c>
      <c r="M27" s="53">
        <f t="shared" si="1"/>
        <v>120</v>
      </c>
      <c r="N27" s="53">
        <f t="shared" si="2"/>
        <v>120</v>
      </c>
      <c r="O27" s="54">
        <f t="shared" si="3"/>
        <v>5</v>
      </c>
      <c r="P27" s="72"/>
      <c r="Q27" s="63"/>
      <c r="R27" s="63"/>
      <c r="S27" s="62"/>
    </row>
    <row r="28" spans="2:19" ht="12" hidden="1" customHeight="1">
      <c r="B28" s="46" t="s">
        <v>250</v>
      </c>
      <c r="C28" s="47" t="s">
        <v>251</v>
      </c>
      <c r="D28" s="47" t="s">
        <v>121</v>
      </c>
      <c r="E28" s="48" t="s">
        <v>183</v>
      </c>
      <c r="F28" s="48" t="s">
        <v>183</v>
      </c>
      <c r="G28" s="48">
        <v>51</v>
      </c>
      <c r="H28" s="48">
        <v>69</v>
      </c>
      <c r="I28" s="49">
        <v>4587539.87</v>
      </c>
      <c r="J28" s="49">
        <f t="shared" si="0"/>
        <v>89951.762156862751</v>
      </c>
      <c r="K28" s="65">
        <v>1</v>
      </c>
      <c r="L28" s="55" t="s">
        <v>126</v>
      </c>
      <c r="M28" s="53">
        <f t="shared" si="1"/>
        <v>0</v>
      </c>
      <c r="N28" s="53">
        <f t="shared" si="2"/>
        <v>0</v>
      </c>
      <c r="O28" s="54">
        <f t="shared" si="3"/>
        <v>0</v>
      </c>
      <c r="P28" s="72"/>
      <c r="Q28" s="63"/>
      <c r="R28" s="63"/>
      <c r="S28" s="62"/>
    </row>
    <row r="29" spans="2:19" ht="12" hidden="1" customHeight="1">
      <c r="B29" s="46" t="s">
        <v>252</v>
      </c>
      <c r="C29" s="47" t="s">
        <v>253</v>
      </c>
      <c r="D29" s="47" t="s">
        <v>121</v>
      </c>
      <c r="E29" s="48" t="s">
        <v>183</v>
      </c>
      <c r="F29" s="48" t="s">
        <v>183</v>
      </c>
      <c r="G29" s="48">
        <v>37</v>
      </c>
      <c r="H29" s="48">
        <v>37</v>
      </c>
      <c r="I29" s="49">
        <v>2374835.16</v>
      </c>
      <c r="J29" s="49">
        <f t="shared" si="0"/>
        <v>64184.734054054061</v>
      </c>
      <c r="K29" s="65">
        <v>1</v>
      </c>
      <c r="L29" s="55" t="s">
        <v>127</v>
      </c>
      <c r="M29" s="53">
        <f t="shared" si="1"/>
        <v>614</v>
      </c>
      <c r="N29" s="53">
        <f t="shared" si="2"/>
        <v>614</v>
      </c>
      <c r="O29" s="54">
        <f t="shared" si="3"/>
        <v>12</v>
      </c>
      <c r="P29" s="72"/>
      <c r="Q29" s="63"/>
      <c r="R29" s="63"/>
      <c r="S29" s="62"/>
    </row>
    <row r="30" spans="2:19" ht="12" hidden="1" customHeight="1">
      <c r="B30" s="46" t="s">
        <v>254</v>
      </c>
      <c r="C30" s="47" t="s">
        <v>255</v>
      </c>
      <c r="D30" s="47" t="s">
        <v>39</v>
      </c>
      <c r="E30" s="48" t="s">
        <v>185</v>
      </c>
      <c r="F30" s="48" t="s">
        <v>184</v>
      </c>
      <c r="G30" s="48">
        <v>32</v>
      </c>
      <c r="H30" s="48">
        <v>32</v>
      </c>
      <c r="I30" s="49">
        <v>3547507.07</v>
      </c>
      <c r="J30" s="49">
        <f t="shared" si="0"/>
        <v>110859.59593749999</v>
      </c>
      <c r="K30" s="65">
        <v>1</v>
      </c>
      <c r="L30" s="55" t="s">
        <v>128</v>
      </c>
      <c r="M30" s="53">
        <f t="shared" si="1"/>
        <v>933</v>
      </c>
      <c r="N30" s="53">
        <f t="shared" si="2"/>
        <v>972</v>
      </c>
      <c r="O30" s="54">
        <f t="shared" si="3"/>
        <v>15</v>
      </c>
      <c r="P30" s="72"/>
      <c r="Q30" s="63"/>
      <c r="R30" s="63"/>
      <c r="S30" s="62"/>
    </row>
    <row r="31" spans="2:19" ht="12" hidden="1" customHeight="1">
      <c r="B31" s="46" t="s">
        <v>256</v>
      </c>
      <c r="C31" s="47" t="s">
        <v>257</v>
      </c>
      <c r="D31" s="47" t="s">
        <v>161</v>
      </c>
      <c r="E31" s="48" t="s">
        <v>185</v>
      </c>
      <c r="F31" s="48" t="s">
        <v>184</v>
      </c>
      <c r="G31" s="48">
        <v>45</v>
      </c>
      <c r="H31" s="48">
        <v>45</v>
      </c>
      <c r="I31" s="49">
        <v>6758191.3399999999</v>
      </c>
      <c r="J31" s="49">
        <f t="shared" si="0"/>
        <v>150182.02977777779</v>
      </c>
      <c r="K31" s="65">
        <v>1</v>
      </c>
      <c r="L31" s="55" t="s">
        <v>129</v>
      </c>
      <c r="M31" s="53">
        <f t="shared" si="1"/>
        <v>1371</v>
      </c>
      <c r="N31" s="53">
        <f t="shared" si="2"/>
        <v>1391</v>
      </c>
      <c r="O31" s="54">
        <f t="shared" si="3"/>
        <v>26</v>
      </c>
      <c r="P31" s="72"/>
      <c r="Q31" s="63"/>
      <c r="R31" s="63"/>
      <c r="S31" s="62"/>
    </row>
    <row r="32" spans="2:19" ht="12" hidden="1" customHeight="1">
      <c r="B32" s="46" t="s">
        <v>258</v>
      </c>
      <c r="C32" s="47" t="s">
        <v>259</v>
      </c>
      <c r="D32" s="47" t="s">
        <v>105</v>
      </c>
      <c r="E32" s="48" t="s">
        <v>183</v>
      </c>
      <c r="F32" s="48" t="s">
        <v>183</v>
      </c>
      <c r="G32" s="48">
        <v>28</v>
      </c>
      <c r="H32" s="48">
        <v>28</v>
      </c>
      <c r="I32" s="49">
        <v>1966728.41</v>
      </c>
      <c r="J32" s="49">
        <f t="shared" si="0"/>
        <v>70240.300357142856</v>
      </c>
      <c r="K32" s="65">
        <v>1</v>
      </c>
      <c r="L32" s="55" t="s">
        <v>130</v>
      </c>
      <c r="M32" s="53">
        <f t="shared" si="1"/>
        <v>329</v>
      </c>
      <c r="N32" s="53">
        <f t="shared" si="2"/>
        <v>348</v>
      </c>
      <c r="O32" s="54">
        <f t="shared" si="3"/>
        <v>9</v>
      </c>
      <c r="P32" s="72"/>
      <c r="Q32" s="63"/>
      <c r="R32" s="63"/>
      <c r="S32" s="62"/>
    </row>
    <row r="33" spans="2:19" ht="12" hidden="1" customHeight="1">
      <c r="B33" s="46" t="s">
        <v>260</v>
      </c>
      <c r="C33" s="47" t="s">
        <v>261</v>
      </c>
      <c r="D33" s="47" t="s">
        <v>105</v>
      </c>
      <c r="E33" s="48" t="s">
        <v>183</v>
      </c>
      <c r="F33" s="48" t="s">
        <v>183</v>
      </c>
      <c r="G33" s="48">
        <v>54</v>
      </c>
      <c r="H33" s="48">
        <v>54</v>
      </c>
      <c r="I33" s="49">
        <v>3226704.47</v>
      </c>
      <c r="J33" s="49">
        <f t="shared" si="0"/>
        <v>59753.786481481482</v>
      </c>
      <c r="K33" s="65">
        <v>1</v>
      </c>
      <c r="L33" s="55" t="s">
        <v>29</v>
      </c>
      <c r="M33" s="53">
        <f t="shared" si="1"/>
        <v>50</v>
      </c>
      <c r="N33" s="53">
        <f t="shared" si="2"/>
        <v>50</v>
      </c>
      <c r="O33" s="54">
        <f t="shared" si="3"/>
        <v>2</v>
      </c>
      <c r="P33" s="72"/>
      <c r="Q33" s="63"/>
      <c r="R33" s="63"/>
      <c r="S33" s="62"/>
    </row>
    <row r="34" spans="2:19" ht="12" hidden="1" customHeight="1">
      <c r="B34" s="46" t="s">
        <v>262</v>
      </c>
      <c r="C34" s="47" t="s">
        <v>263</v>
      </c>
      <c r="D34" s="47" t="s">
        <v>105</v>
      </c>
      <c r="E34" s="48" t="s">
        <v>183</v>
      </c>
      <c r="F34" s="48" t="s">
        <v>183</v>
      </c>
      <c r="G34" s="48">
        <v>50</v>
      </c>
      <c r="H34" s="48">
        <v>50</v>
      </c>
      <c r="I34" s="49">
        <v>5138682.8499999996</v>
      </c>
      <c r="J34" s="49">
        <f t="shared" si="0"/>
        <v>102773.65699999999</v>
      </c>
      <c r="K34" s="65">
        <v>1</v>
      </c>
      <c r="L34" s="55" t="s">
        <v>132</v>
      </c>
      <c r="M34" s="53">
        <f t="shared" si="1"/>
        <v>0</v>
      </c>
      <c r="N34" s="53">
        <f t="shared" si="2"/>
        <v>0</v>
      </c>
      <c r="O34" s="54">
        <f t="shared" si="3"/>
        <v>0</v>
      </c>
      <c r="P34" s="72"/>
      <c r="Q34" s="63"/>
      <c r="R34" s="63"/>
      <c r="S34" s="62"/>
    </row>
    <row r="35" spans="2:19" ht="12" hidden="1" customHeight="1">
      <c r="B35" s="46" t="s">
        <v>264</v>
      </c>
      <c r="C35" s="47" t="s">
        <v>265</v>
      </c>
      <c r="D35" s="47" t="s">
        <v>135</v>
      </c>
      <c r="E35" s="48" t="s">
        <v>185</v>
      </c>
      <c r="F35" s="48" t="s">
        <v>184</v>
      </c>
      <c r="G35" s="48">
        <v>0</v>
      </c>
      <c r="H35" s="48">
        <v>0</v>
      </c>
      <c r="I35" s="49">
        <v>0</v>
      </c>
      <c r="J35" s="49" t="str">
        <f t="shared" si="0"/>
        <v/>
      </c>
      <c r="K35" s="65">
        <v>1</v>
      </c>
      <c r="L35" s="55" t="s">
        <v>133</v>
      </c>
      <c r="M35" s="53">
        <f t="shared" si="1"/>
        <v>577</v>
      </c>
      <c r="N35" s="53">
        <f t="shared" si="2"/>
        <v>596</v>
      </c>
      <c r="O35" s="54">
        <f t="shared" si="3"/>
        <v>10</v>
      </c>
      <c r="P35" s="72"/>
      <c r="Q35" s="63"/>
      <c r="R35" s="63"/>
      <c r="S35" s="62"/>
    </row>
    <row r="36" spans="2:19" ht="12" hidden="1" customHeight="1">
      <c r="B36" s="46" t="s">
        <v>266</v>
      </c>
      <c r="C36" s="47" t="s">
        <v>267</v>
      </c>
      <c r="D36" s="47" t="s">
        <v>129</v>
      </c>
      <c r="E36" s="48" t="s">
        <v>185</v>
      </c>
      <c r="F36" s="48" t="s">
        <v>183</v>
      </c>
      <c r="G36" s="48">
        <v>29</v>
      </c>
      <c r="H36" s="48">
        <v>29</v>
      </c>
      <c r="I36" s="49">
        <v>1062375.3</v>
      </c>
      <c r="J36" s="49">
        <f t="shared" si="0"/>
        <v>36633.631034482758</v>
      </c>
      <c r="K36" s="65">
        <v>1</v>
      </c>
      <c r="L36" s="55" t="s">
        <v>134</v>
      </c>
      <c r="M36" s="53">
        <f t="shared" si="1"/>
        <v>148</v>
      </c>
      <c r="N36" s="53">
        <f t="shared" si="2"/>
        <v>148</v>
      </c>
      <c r="O36" s="54">
        <f t="shared" si="3"/>
        <v>4</v>
      </c>
      <c r="P36" s="72"/>
      <c r="Q36" s="63"/>
      <c r="R36" s="63"/>
      <c r="S36" s="62"/>
    </row>
    <row r="37" spans="2:19" ht="12" hidden="1" customHeight="1">
      <c r="B37" s="46" t="s">
        <v>268</v>
      </c>
      <c r="C37" s="47" t="s">
        <v>269</v>
      </c>
      <c r="D37" s="47" t="s">
        <v>146</v>
      </c>
      <c r="E37" s="48" t="s">
        <v>185</v>
      </c>
      <c r="F37" s="48" t="s">
        <v>184</v>
      </c>
      <c r="G37" s="48">
        <v>22</v>
      </c>
      <c r="H37" s="48">
        <v>22</v>
      </c>
      <c r="I37" s="49">
        <v>1959951.07</v>
      </c>
      <c r="J37" s="49">
        <f t="shared" si="0"/>
        <v>89088.684999999998</v>
      </c>
      <c r="K37" s="65">
        <v>1</v>
      </c>
      <c r="L37" s="55" t="s">
        <v>135</v>
      </c>
      <c r="M37" s="53">
        <f t="shared" si="1"/>
        <v>805</v>
      </c>
      <c r="N37" s="53">
        <f t="shared" si="2"/>
        <v>837</v>
      </c>
      <c r="O37" s="54">
        <f t="shared" si="3"/>
        <v>15</v>
      </c>
      <c r="P37" s="72"/>
      <c r="Q37" s="63"/>
      <c r="R37" s="63"/>
      <c r="S37" s="62"/>
    </row>
    <row r="38" spans="2:19" ht="12" hidden="1" customHeight="1">
      <c r="B38" s="46" t="s">
        <v>270</v>
      </c>
      <c r="C38" s="47" t="s">
        <v>271</v>
      </c>
      <c r="D38" s="47" t="s">
        <v>155</v>
      </c>
      <c r="E38" s="48" t="s">
        <v>185</v>
      </c>
      <c r="F38" s="48" t="s">
        <v>184</v>
      </c>
      <c r="G38" s="48">
        <v>30</v>
      </c>
      <c r="H38" s="48">
        <v>30</v>
      </c>
      <c r="I38" s="49">
        <v>3286153.11</v>
      </c>
      <c r="J38" s="49">
        <f t="shared" si="0"/>
        <v>109538.43699999999</v>
      </c>
      <c r="K38" s="65">
        <v>1</v>
      </c>
      <c r="L38" s="55" t="s">
        <v>136</v>
      </c>
      <c r="M38" s="53">
        <f t="shared" si="1"/>
        <v>0</v>
      </c>
      <c r="N38" s="53">
        <f t="shared" si="2"/>
        <v>0</v>
      </c>
      <c r="O38" s="54">
        <f t="shared" si="3"/>
        <v>0</v>
      </c>
      <c r="P38" s="72"/>
      <c r="Q38" s="63"/>
      <c r="R38" s="63"/>
      <c r="S38" s="62"/>
    </row>
    <row r="39" spans="2:19" ht="12" hidden="1" customHeight="1">
      <c r="B39" s="46" t="s">
        <v>272</v>
      </c>
      <c r="C39" s="47" t="s">
        <v>273</v>
      </c>
      <c r="D39" s="47" t="s">
        <v>138</v>
      </c>
      <c r="E39" s="48" t="s">
        <v>185</v>
      </c>
      <c r="F39" s="48" t="s">
        <v>184</v>
      </c>
      <c r="G39" s="48">
        <v>80</v>
      </c>
      <c r="H39" s="48">
        <v>105</v>
      </c>
      <c r="I39" s="49">
        <v>10145114.09</v>
      </c>
      <c r="J39" s="49">
        <f t="shared" si="0"/>
        <v>126813.926125</v>
      </c>
      <c r="K39" s="65">
        <v>1</v>
      </c>
      <c r="L39" s="55" t="s">
        <v>137</v>
      </c>
      <c r="M39" s="53">
        <f t="shared" si="1"/>
        <v>895</v>
      </c>
      <c r="N39" s="53">
        <f t="shared" si="2"/>
        <v>979</v>
      </c>
      <c r="O39" s="54">
        <f t="shared" si="3"/>
        <v>17</v>
      </c>
      <c r="P39" s="72"/>
      <c r="Q39" s="63"/>
      <c r="R39" s="63"/>
      <c r="S39" s="62"/>
    </row>
    <row r="40" spans="2:19" ht="12" hidden="1" customHeight="1">
      <c r="B40" s="46" t="s">
        <v>274</v>
      </c>
      <c r="C40" s="47" t="s">
        <v>275</v>
      </c>
      <c r="D40" s="47" t="s">
        <v>109</v>
      </c>
      <c r="E40" s="48" t="s">
        <v>183</v>
      </c>
      <c r="F40" s="48" t="s">
        <v>184</v>
      </c>
      <c r="G40" s="48">
        <v>30</v>
      </c>
      <c r="H40" s="48">
        <v>30</v>
      </c>
      <c r="I40" s="49">
        <v>748027.09</v>
      </c>
      <c r="J40" s="49">
        <f t="shared" si="0"/>
        <v>24934.236333333331</v>
      </c>
      <c r="K40" s="65">
        <v>1</v>
      </c>
      <c r="L40" s="55" t="s">
        <v>138</v>
      </c>
      <c r="M40" s="53">
        <f t="shared" si="1"/>
        <v>683</v>
      </c>
      <c r="N40" s="53">
        <f t="shared" si="2"/>
        <v>771</v>
      </c>
      <c r="O40" s="54">
        <f t="shared" si="3"/>
        <v>11</v>
      </c>
      <c r="P40" s="72"/>
      <c r="Q40" s="63"/>
      <c r="R40" s="63"/>
      <c r="S40" s="62"/>
    </row>
    <row r="41" spans="2:19" ht="12" hidden="1" customHeight="1">
      <c r="B41" s="46" t="s">
        <v>276</v>
      </c>
      <c r="C41" s="47" t="s">
        <v>277</v>
      </c>
      <c r="D41" s="47" t="s">
        <v>161</v>
      </c>
      <c r="E41" s="48" t="s">
        <v>185</v>
      </c>
      <c r="F41" s="48" t="s">
        <v>184</v>
      </c>
      <c r="G41" s="48">
        <v>0</v>
      </c>
      <c r="H41" s="48">
        <v>0</v>
      </c>
      <c r="I41" s="49">
        <v>0</v>
      </c>
      <c r="J41" s="49" t="str">
        <f t="shared" si="0"/>
        <v/>
      </c>
      <c r="K41" s="65">
        <v>1</v>
      </c>
      <c r="L41" s="55" t="s">
        <v>41</v>
      </c>
      <c r="M41" s="53">
        <f t="shared" si="1"/>
        <v>522</v>
      </c>
      <c r="N41" s="53">
        <f t="shared" si="2"/>
        <v>557</v>
      </c>
      <c r="O41" s="54">
        <f t="shared" si="3"/>
        <v>13</v>
      </c>
      <c r="P41" s="72"/>
      <c r="Q41" s="63"/>
      <c r="R41" s="63"/>
      <c r="S41" s="62"/>
    </row>
    <row r="42" spans="2:19" ht="12" hidden="1" customHeight="1">
      <c r="B42" s="46" t="s">
        <v>276</v>
      </c>
      <c r="C42" s="47" t="s">
        <v>277</v>
      </c>
      <c r="D42" s="47" t="s">
        <v>161</v>
      </c>
      <c r="E42" s="48" t="s">
        <v>185</v>
      </c>
      <c r="F42" s="48" t="s">
        <v>184</v>
      </c>
      <c r="G42" s="48">
        <v>40</v>
      </c>
      <c r="H42" s="48">
        <v>40</v>
      </c>
      <c r="I42" s="49">
        <v>2192701.7599999998</v>
      </c>
      <c r="J42" s="49">
        <f t="shared" si="0"/>
        <v>54817.543999999994</v>
      </c>
      <c r="K42" s="65">
        <v>1</v>
      </c>
      <c r="L42" s="55" t="s">
        <v>140</v>
      </c>
      <c r="M42" s="53">
        <f t="shared" si="1"/>
        <v>0</v>
      </c>
      <c r="N42" s="53">
        <f t="shared" si="2"/>
        <v>0</v>
      </c>
      <c r="O42" s="54">
        <f t="shared" si="3"/>
        <v>0</v>
      </c>
      <c r="P42" s="72"/>
      <c r="Q42" s="63"/>
      <c r="R42" s="63"/>
      <c r="S42" s="62"/>
    </row>
    <row r="43" spans="2:19" ht="12" hidden="1" customHeight="1">
      <c r="B43" s="46" t="s">
        <v>278</v>
      </c>
      <c r="C43" s="47" t="s">
        <v>279</v>
      </c>
      <c r="D43" s="47" t="s">
        <v>129</v>
      </c>
      <c r="E43" s="48" t="s">
        <v>183</v>
      </c>
      <c r="F43" s="48" t="s">
        <v>183</v>
      </c>
      <c r="G43" s="48">
        <v>28</v>
      </c>
      <c r="H43" s="48">
        <v>28</v>
      </c>
      <c r="I43" s="49">
        <v>851586.03</v>
      </c>
      <c r="J43" s="49">
        <f t="shared" si="0"/>
        <v>30413.786785714288</v>
      </c>
      <c r="K43" s="65">
        <v>1</v>
      </c>
      <c r="L43" s="55" t="s">
        <v>141</v>
      </c>
      <c r="M43" s="53">
        <f t="shared" si="1"/>
        <v>95</v>
      </c>
      <c r="N43" s="53">
        <f t="shared" si="2"/>
        <v>95</v>
      </c>
      <c r="O43" s="54">
        <f t="shared" si="3"/>
        <v>3</v>
      </c>
      <c r="P43" s="72"/>
      <c r="Q43" s="63"/>
      <c r="R43" s="63"/>
      <c r="S43" s="62"/>
    </row>
    <row r="44" spans="2:19" ht="12" hidden="1" customHeight="1">
      <c r="B44" s="46" t="s">
        <v>280</v>
      </c>
      <c r="C44" s="47" t="s">
        <v>281</v>
      </c>
      <c r="D44" s="47" t="s">
        <v>110</v>
      </c>
      <c r="E44" s="48" t="s">
        <v>183</v>
      </c>
      <c r="F44" s="48" t="s">
        <v>183</v>
      </c>
      <c r="G44" s="48">
        <v>50</v>
      </c>
      <c r="H44" s="48">
        <v>50</v>
      </c>
      <c r="I44" s="49">
        <v>2471780.66</v>
      </c>
      <c r="J44" s="49">
        <f t="shared" si="0"/>
        <v>49435.6132</v>
      </c>
      <c r="K44" s="65">
        <v>1</v>
      </c>
      <c r="L44" s="55" t="s">
        <v>142</v>
      </c>
      <c r="M44" s="53">
        <f t="shared" si="1"/>
        <v>439</v>
      </c>
      <c r="N44" s="53">
        <f t="shared" si="2"/>
        <v>527</v>
      </c>
      <c r="O44" s="54">
        <f t="shared" si="3"/>
        <v>7</v>
      </c>
      <c r="P44" s="72"/>
      <c r="Q44" s="63"/>
      <c r="R44" s="63"/>
      <c r="S44" s="62"/>
    </row>
    <row r="45" spans="2:19" ht="12" hidden="1" customHeight="1">
      <c r="B45" s="46" t="s">
        <v>282</v>
      </c>
      <c r="C45" s="47" t="s">
        <v>283</v>
      </c>
      <c r="D45" s="47" t="s">
        <v>110</v>
      </c>
      <c r="E45" s="48" t="s">
        <v>183</v>
      </c>
      <c r="F45" s="48" t="s">
        <v>183</v>
      </c>
      <c r="G45" s="48">
        <v>25</v>
      </c>
      <c r="H45" s="48">
        <v>25</v>
      </c>
      <c r="I45" s="49">
        <v>889203.25</v>
      </c>
      <c r="J45" s="49">
        <f t="shared" si="0"/>
        <v>35568.129999999997</v>
      </c>
      <c r="K45" s="65">
        <v>1</v>
      </c>
      <c r="L45" s="55" t="s">
        <v>30</v>
      </c>
      <c r="M45" s="53">
        <f t="shared" si="1"/>
        <v>40</v>
      </c>
      <c r="N45" s="53">
        <f t="shared" si="2"/>
        <v>40</v>
      </c>
      <c r="O45" s="54">
        <f t="shared" si="3"/>
        <v>1</v>
      </c>
      <c r="P45" s="72"/>
      <c r="Q45" s="63"/>
      <c r="R45" s="63"/>
      <c r="S45" s="62"/>
    </row>
    <row r="46" spans="2:19" ht="12" hidden="1" customHeight="1">
      <c r="B46" s="46" t="s">
        <v>284</v>
      </c>
      <c r="C46" s="47" t="s">
        <v>285</v>
      </c>
      <c r="D46" s="47" t="s">
        <v>127</v>
      </c>
      <c r="E46" s="48" t="s">
        <v>183</v>
      </c>
      <c r="F46" s="48" t="s">
        <v>183</v>
      </c>
      <c r="G46" s="48">
        <v>81</v>
      </c>
      <c r="H46" s="48">
        <v>81</v>
      </c>
      <c r="I46" s="49">
        <v>5396255.4100000001</v>
      </c>
      <c r="J46" s="49">
        <f t="shared" si="0"/>
        <v>66620.437160493835</v>
      </c>
      <c r="K46" s="65">
        <v>1</v>
      </c>
      <c r="L46" s="55" t="s">
        <v>144</v>
      </c>
      <c r="M46" s="53">
        <f t="shared" si="1"/>
        <v>209</v>
      </c>
      <c r="N46" s="53">
        <f t="shared" si="2"/>
        <v>232</v>
      </c>
      <c r="O46" s="54">
        <f t="shared" si="3"/>
        <v>9</v>
      </c>
      <c r="P46" s="72"/>
      <c r="Q46" s="63"/>
      <c r="R46" s="63"/>
      <c r="S46" s="62"/>
    </row>
    <row r="47" spans="2:19" ht="12" hidden="1" customHeight="1">
      <c r="B47" s="46" t="s">
        <v>286</v>
      </c>
      <c r="C47" s="47" t="s">
        <v>287</v>
      </c>
      <c r="D47" s="47" t="s">
        <v>127</v>
      </c>
      <c r="E47" s="48" t="s">
        <v>183</v>
      </c>
      <c r="F47" s="48" t="s">
        <v>183</v>
      </c>
      <c r="G47" s="48">
        <v>105</v>
      </c>
      <c r="H47" s="48">
        <v>105</v>
      </c>
      <c r="I47" s="49">
        <v>6926896.1500000004</v>
      </c>
      <c r="J47" s="49">
        <f t="shared" si="0"/>
        <v>65970.439523809531</v>
      </c>
      <c r="K47" s="65">
        <v>1</v>
      </c>
      <c r="L47" s="55" t="s">
        <v>145</v>
      </c>
      <c r="M47" s="53">
        <f t="shared" si="1"/>
        <v>718</v>
      </c>
      <c r="N47" s="53">
        <f t="shared" si="2"/>
        <v>770</v>
      </c>
      <c r="O47" s="54">
        <f t="shared" si="3"/>
        <v>11</v>
      </c>
      <c r="P47" s="72"/>
      <c r="Q47" s="63"/>
      <c r="R47" s="63"/>
      <c r="S47" s="62"/>
    </row>
    <row r="48" spans="2:19" ht="12" hidden="1" customHeight="1">
      <c r="B48" s="46" t="s">
        <v>288</v>
      </c>
      <c r="C48" s="47" t="s">
        <v>289</v>
      </c>
      <c r="D48" s="47" t="s">
        <v>124</v>
      </c>
      <c r="E48" s="48" t="s">
        <v>183</v>
      </c>
      <c r="F48" s="48" t="s">
        <v>184</v>
      </c>
      <c r="G48" s="48">
        <v>80</v>
      </c>
      <c r="H48" s="48">
        <v>80</v>
      </c>
      <c r="I48" s="49">
        <v>2304188.0299999998</v>
      </c>
      <c r="J48" s="49">
        <f t="shared" si="0"/>
        <v>28802.350374999998</v>
      </c>
      <c r="K48" s="65">
        <v>1</v>
      </c>
      <c r="L48" s="55" t="s">
        <v>146</v>
      </c>
      <c r="M48" s="53">
        <f t="shared" si="1"/>
        <v>744</v>
      </c>
      <c r="N48" s="53">
        <f t="shared" si="2"/>
        <v>779</v>
      </c>
      <c r="O48" s="54">
        <f t="shared" si="3"/>
        <v>12</v>
      </c>
      <c r="P48" s="72"/>
      <c r="Q48" s="63"/>
      <c r="R48" s="63"/>
      <c r="S48" s="62"/>
    </row>
    <row r="49" spans="2:19" ht="12" hidden="1" customHeight="1">
      <c r="B49" s="46" t="s">
        <v>290</v>
      </c>
      <c r="C49" s="47" t="s">
        <v>291</v>
      </c>
      <c r="D49" s="47" t="s">
        <v>124</v>
      </c>
      <c r="E49" s="48" t="s">
        <v>183</v>
      </c>
      <c r="F49" s="48" t="s">
        <v>184</v>
      </c>
      <c r="G49" s="48">
        <v>90</v>
      </c>
      <c r="H49" s="48">
        <v>90</v>
      </c>
      <c r="I49" s="49">
        <v>5823557.96</v>
      </c>
      <c r="J49" s="49">
        <f t="shared" si="0"/>
        <v>64706.199555555555</v>
      </c>
      <c r="K49" s="65">
        <v>1</v>
      </c>
      <c r="L49" s="55" t="s">
        <v>147</v>
      </c>
      <c r="M49" s="53">
        <f t="shared" si="1"/>
        <v>493</v>
      </c>
      <c r="N49" s="53">
        <f t="shared" si="2"/>
        <v>493</v>
      </c>
      <c r="O49" s="54">
        <f t="shared" si="3"/>
        <v>7</v>
      </c>
      <c r="P49" s="72"/>
      <c r="Q49" s="63"/>
      <c r="R49" s="63"/>
      <c r="S49" s="62"/>
    </row>
    <row r="50" spans="2:19" ht="12" hidden="1" customHeight="1">
      <c r="B50" s="46" t="s">
        <v>292</v>
      </c>
      <c r="C50" s="47" t="s">
        <v>293</v>
      </c>
      <c r="D50" s="47" t="s">
        <v>116</v>
      </c>
      <c r="E50" s="48" t="s">
        <v>185</v>
      </c>
      <c r="F50" s="48" t="s">
        <v>184</v>
      </c>
      <c r="G50" s="48">
        <v>63</v>
      </c>
      <c r="H50" s="48">
        <v>63</v>
      </c>
      <c r="I50" s="49">
        <v>8797953.4900000002</v>
      </c>
      <c r="J50" s="49">
        <f t="shared" si="0"/>
        <v>139650.0553968254</v>
      </c>
      <c r="K50" s="65">
        <v>1</v>
      </c>
      <c r="L50" s="55" t="s">
        <v>148</v>
      </c>
      <c r="M50" s="53">
        <f t="shared" si="1"/>
        <v>285</v>
      </c>
      <c r="N50" s="53">
        <f t="shared" si="2"/>
        <v>285</v>
      </c>
      <c r="O50" s="54">
        <f t="shared" si="3"/>
        <v>8</v>
      </c>
      <c r="P50" s="72"/>
      <c r="Q50" s="63"/>
      <c r="R50" s="63"/>
      <c r="S50" s="62"/>
    </row>
    <row r="51" spans="2:19" ht="12" hidden="1" customHeight="1">
      <c r="B51" s="46" t="s">
        <v>294</v>
      </c>
      <c r="C51" s="47" t="s">
        <v>295</v>
      </c>
      <c r="D51" s="47" t="s">
        <v>116</v>
      </c>
      <c r="E51" s="48" t="s">
        <v>185</v>
      </c>
      <c r="F51" s="48" t="s">
        <v>184</v>
      </c>
      <c r="G51" s="48">
        <v>85</v>
      </c>
      <c r="H51" s="48">
        <v>85</v>
      </c>
      <c r="I51" s="49">
        <v>13833794.949999999</v>
      </c>
      <c r="J51" s="49">
        <f t="shared" si="0"/>
        <v>162750.5288235294</v>
      </c>
      <c r="K51" s="65">
        <v>1</v>
      </c>
      <c r="L51" s="55" t="s">
        <v>149</v>
      </c>
      <c r="M51" s="53">
        <f t="shared" si="1"/>
        <v>228</v>
      </c>
      <c r="N51" s="53">
        <f t="shared" si="2"/>
        <v>228</v>
      </c>
      <c r="O51" s="54">
        <f t="shared" si="3"/>
        <v>5</v>
      </c>
      <c r="P51" s="72"/>
      <c r="Q51" s="63"/>
      <c r="R51" s="63"/>
      <c r="S51" s="62"/>
    </row>
    <row r="52" spans="2:19" ht="12" hidden="1" customHeight="1">
      <c r="B52" s="46" t="s">
        <v>294</v>
      </c>
      <c r="C52" s="47" t="s">
        <v>295</v>
      </c>
      <c r="D52" s="47" t="s">
        <v>116</v>
      </c>
      <c r="E52" s="48" t="s">
        <v>185</v>
      </c>
      <c r="F52" s="48" t="s">
        <v>184</v>
      </c>
      <c r="G52" s="48">
        <v>0</v>
      </c>
      <c r="H52" s="48">
        <v>0</v>
      </c>
      <c r="I52" s="49">
        <v>0</v>
      </c>
      <c r="J52" s="49" t="str">
        <f t="shared" si="0"/>
        <v/>
      </c>
      <c r="K52" s="65">
        <v>1</v>
      </c>
      <c r="L52" s="55" t="s">
        <v>31</v>
      </c>
      <c r="M52" s="53">
        <f t="shared" si="1"/>
        <v>98</v>
      </c>
      <c r="N52" s="53">
        <f t="shared" si="2"/>
        <v>98</v>
      </c>
      <c r="O52" s="54">
        <f t="shared" si="3"/>
        <v>2</v>
      </c>
      <c r="P52" s="72"/>
      <c r="Q52" s="63"/>
      <c r="R52" s="63"/>
      <c r="S52" s="62"/>
    </row>
    <row r="53" spans="2:19" ht="12" hidden="1" customHeight="1">
      <c r="B53" s="46" t="s">
        <v>296</v>
      </c>
      <c r="C53" s="47" t="s">
        <v>297</v>
      </c>
      <c r="D53" s="47" t="s">
        <v>181</v>
      </c>
      <c r="E53" s="48" t="s">
        <v>185</v>
      </c>
      <c r="F53" s="48" t="s">
        <v>183</v>
      </c>
      <c r="G53" s="48">
        <v>30</v>
      </c>
      <c r="H53" s="48">
        <v>30</v>
      </c>
      <c r="I53" s="49">
        <v>1178231.27</v>
      </c>
      <c r="J53" s="49">
        <f t="shared" si="0"/>
        <v>39274.375666666667</v>
      </c>
      <c r="K53" s="65">
        <v>1</v>
      </c>
      <c r="L53" s="55" t="s">
        <v>151</v>
      </c>
      <c r="M53" s="53">
        <f t="shared" si="1"/>
        <v>957</v>
      </c>
      <c r="N53" s="53">
        <f t="shared" si="2"/>
        <v>997</v>
      </c>
      <c r="O53" s="54">
        <f t="shared" si="3"/>
        <v>16</v>
      </c>
      <c r="P53" s="72"/>
      <c r="Q53" s="63"/>
      <c r="R53" s="63"/>
      <c r="S53" s="62"/>
    </row>
    <row r="54" spans="2:19" ht="12" hidden="1" customHeight="1">
      <c r="B54" s="46" t="s">
        <v>298</v>
      </c>
      <c r="C54" s="47" t="s">
        <v>299</v>
      </c>
      <c r="D54" s="47" t="s">
        <v>38</v>
      </c>
      <c r="E54" s="48" t="s">
        <v>185</v>
      </c>
      <c r="F54" s="48" t="s">
        <v>184</v>
      </c>
      <c r="G54" s="48">
        <v>71</v>
      </c>
      <c r="H54" s="48">
        <v>102</v>
      </c>
      <c r="I54" s="49">
        <v>8802899.8800000008</v>
      </c>
      <c r="J54" s="49">
        <f t="shared" si="0"/>
        <v>123984.50535211268</v>
      </c>
      <c r="K54" s="65">
        <v>1</v>
      </c>
      <c r="L54" s="55" t="s">
        <v>152</v>
      </c>
      <c r="M54" s="53">
        <f t="shared" si="1"/>
        <v>732</v>
      </c>
      <c r="N54" s="53">
        <f t="shared" si="2"/>
        <v>746</v>
      </c>
      <c r="O54" s="54">
        <f t="shared" si="3"/>
        <v>11</v>
      </c>
      <c r="P54" s="72"/>
      <c r="Q54" s="63"/>
      <c r="R54" s="63"/>
      <c r="S54" s="62"/>
    </row>
    <row r="55" spans="2:19" ht="12" hidden="1" customHeight="1">
      <c r="B55" s="46" t="s">
        <v>300</v>
      </c>
      <c r="C55" s="47" t="s">
        <v>301</v>
      </c>
      <c r="D55" s="47" t="s">
        <v>181</v>
      </c>
      <c r="E55" s="48" t="s">
        <v>185</v>
      </c>
      <c r="F55" s="48" t="s">
        <v>183</v>
      </c>
      <c r="G55" s="48">
        <v>40</v>
      </c>
      <c r="H55" s="48">
        <v>40</v>
      </c>
      <c r="I55" s="49">
        <v>1178451.73</v>
      </c>
      <c r="J55" s="49">
        <f t="shared" si="0"/>
        <v>29461.293249999999</v>
      </c>
      <c r="K55" s="65">
        <v>1</v>
      </c>
      <c r="L55" s="55" t="s">
        <v>153</v>
      </c>
      <c r="M55" s="53">
        <f t="shared" si="1"/>
        <v>110</v>
      </c>
      <c r="N55" s="53">
        <f t="shared" si="2"/>
        <v>110</v>
      </c>
      <c r="O55" s="54">
        <f t="shared" si="3"/>
        <v>3</v>
      </c>
      <c r="P55" s="72"/>
      <c r="Q55" s="63"/>
      <c r="R55" s="63"/>
      <c r="S55" s="62"/>
    </row>
    <row r="56" spans="2:19" ht="12" hidden="1" customHeight="1">
      <c r="B56" s="46" t="s">
        <v>302</v>
      </c>
      <c r="C56" s="47" t="s">
        <v>303</v>
      </c>
      <c r="D56" s="47" t="s">
        <v>105</v>
      </c>
      <c r="E56" s="48" t="s">
        <v>185</v>
      </c>
      <c r="F56" s="48" t="s">
        <v>183</v>
      </c>
      <c r="G56" s="48">
        <v>40</v>
      </c>
      <c r="H56" s="48">
        <v>48</v>
      </c>
      <c r="I56" s="49">
        <v>5687564.0599999996</v>
      </c>
      <c r="J56" s="49">
        <f t="shared" si="0"/>
        <v>142189.10149999999</v>
      </c>
      <c r="K56" s="65">
        <v>1</v>
      </c>
      <c r="L56" s="55" t="s">
        <v>154</v>
      </c>
      <c r="M56" s="53">
        <f t="shared" si="1"/>
        <v>721</v>
      </c>
      <c r="N56" s="53">
        <f t="shared" si="2"/>
        <v>763</v>
      </c>
      <c r="O56" s="54">
        <f t="shared" si="3"/>
        <v>15</v>
      </c>
      <c r="P56" s="72"/>
      <c r="Q56" s="63"/>
      <c r="R56" s="63"/>
      <c r="S56" s="62"/>
    </row>
    <row r="57" spans="2:19" ht="12" hidden="1" customHeight="1">
      <c r="B57" s="46" t="s">
        <v>304</v>
      </c>
      <c r="C57" s="47" t="s">
        <v>305</v>
      </c>
      <c r="D57" s="47" t="s">
        <v>124</v>
      </c>
      <c r="E57" s="48" t="s">
        <v>185</v>
      </c>
      <c r="F57" s="48" t="s">
        <v>184</v>
      </c>
      <c r="G57" s="48">
        <v>75</v>
      </c>
      <c r="H57" s="48">
        <v>90</v>
      </c>
      <c r="I57" s="49">
        <v>10226759.029999999</v>
      </c>
      <c r="J57" s="49">
        <f t="shared" si="0"/>
        <v>136356.78706666667</v>
      </c>
      <c r="K57" s="65">
        <v>1</v>
      </c>
      <c r="L57" s="55" t="s">
        <v>155</v>
      </c>
      <c r="M57" s="53">
        <f t="shared" si="1"/>
        <v>806</v>
      </c>
      <c r="N57" s="53">
        <f t="shared" si="2"/>
        <v>826</v>
      </c>
      <c r="O57" s="54">
        <f t="shared" si="3"/>
        <v>17</v>
      </c>
      <c r="P57" s="72"/>
      <c r="Q57" s="63"/>
      <c r="R57" s="63"/>
      <c r="S57" s="62"/>
    </row>
    <row r="58" spans="2:19" ht="12" hidden="1" customHeight="1">
      <c r="B58" s="46" t="s">
        <v>306</v>
      </c>
      <c r="C58" s="47" t="s">
        <v>307</v>
      </c>
      <c r="D58" s="47" t="s">
        <v>146</v>
      </c>
      <c r="E58" s="48" t="s">
        <v>185</v>
      </c>
      <c r="F58" s="48" t="s">
        <v>184</v>
      </c>
      <c r="G58" s="48">
        <v>100</v>
      </c>
      <c r="H58" s="48">
        <v>100</v>
      </c>
      <c r="I58" s="49">
        <v>14752026.140000001</v>
      </c>
      <c r="J58" s="49">
        <f t="shared" si="0"/>
        <v>147520.26140000002</v>
      </c>
      <c r="K58" s="65">
        <v>1</v>
      </c>
      <c r="L58" s="55" t="s">
        <v>32</v>
      </c>
      <c r="M58" s="53">
        <f t="shared" si="1"/>
        <v>30</v>
      </c>
      <c r="N58" s="53">
        <f t="shared" si="2"/>
        <v>30</v>
      </c>
      <c r="O58" s="54">
        <f t="shared" si="3"/>
        <v>1</v>
      </c>
      <c r="P58" s="72"/>
      <c r="Q58" s="63"/>
      <c r="R58" s="63"/>
      <c r="S58" s="62"/>
    </row>
    <row r="59" spans="2:19" ht="12" hidden="1" customHeight="1">
      <c r="B59" s="46" t="s">
        <v>308</v>
      </c>
      <c r="C59" s="47" t="s">
        <v>309</v>
      </c>
      <c r="D59" s="47" t="s">
        <v>38</v>
      </c>
      <c r="E59" s="48" t="s">
        <v>183</v>
      </c>
      <c r="F59" s="48" t="s">
        <v>184</v>
      </c>
      <c r="G59" s="48">
        <v>39</v>
      </c>
      <c r="H59" s="48">
        <v>39</v>
      </c>
      <c r="I59" s="49">
        <v>2059391.03</v>
      </c>
      <c r="J59" s="49">
        <f t="shared" si="0"/>
        <v>52804.898205128207</v>
      </c>
      <c r="K59" s="65">
        <v>1</v>
      </c>
      <c r="L59" s="55" t="s">
        <v>157</v>
      </c>
      <c r="M59" s="53">
        <f t="shared" si="1"/>
        <v>0</v>
      </c>
      <c r="N59" s="53">
        <f t="shared" si="2"/>
        <v>0</v>
      </c>
      <c r="O59" s="54">
        <f t="shared" si="3"/>
        <v>0</v>
      </c>
      <c r="P59" s="72"/>
      <c r="Q59" s="63"/>
      <c r="R59" s="63"/>
      <c r="S59" s="62"/>
    </row>
    <row r="60" spans="2:19" ht="12" hidden="1" customHeight="1">
      <c r="B60" s="46" t="s">
        <v>310</v>
      </c>
      <c r="C60" s="47" t="s">
        <v>311</v>
      </c>
      <c r="D60" s="47" t="s">
        <v>38</v>
      </c>
      <c r="E60" s="48" t="s">
        <v>183</v>
      </c>
      <c r="F60" s="48" t="s">
        <v>184</v>
      </c>
      <c r="G60" s="48">
        <v>95</v>
      </c>
      <c r="H60" s="48">
        <v>95</v>
      </c>
      <c r="I60" s="49">
        <v>7743703.54</v>
      </c>
      <c r="J60" s="49">
        <f t="shared" si="0"/>
        <v>81512.668842105268</v>
      </c>
      <c r="K60" s="65">
        <v>1</v>
      </c>
      <c r="L60" s="55" t="s">
        <v>33</v>
      </c>
      <c r="M60" s="53">
        <f t="shared" si="1"/>
        <v>16</v>
      </c>
      <c r="N60" s="53">
        <f t="shared" si="2"/>
        <v>16</v>
      </c>
      <c r="O60" s="54">
        <f t="shared" si="3"/>
        <v>2</v>
      </c>
      <c r="P60" s="72"/>
      <c r="Q60" s="63"/>
      <c r="R60" s="63"/>
      <c r="S60" s="62"/>
    </row>
    <row r="61" spans="2:19" ht="12" hidden="1" customHeight="1">
      <c r="B61" s="46" t="s">
        <v>312</v>
      </c>
      <c r="C61" s="47" t="s">
        <v>313</v>
      </c>
      <c r="D61" s="47" t="s">
        <v>144</v>
      </c>
      <c r="E61" s="48" t="s">
        <v>185</v>
      </c>
      <c r="F61" s="48" t="s">
        <v>184</v>
      </c>
      <c r="G61" s="48">
        <v>31</v>
      </c>
      <c r="H61" s="48">
        <v>31</v>
      </c>
      <c r="I61" s="49">
        <v>5543292.96</v>
      </c>
      <c r="J61" s="49">
        <f t="shared" si="0"/>
        <v>178815.90193548388</v>
      </c>
      <c r="K61" s="65">
        <v>1</v>
      </c>
      <c r="L61" s="55" t="s">
        <v>159</v>
      </c>
      <c r="M61" s="53">
        <f t="shared" si="1"/>
        <v>80</v>
      </c>
      <c r="N61" s="53">
        <f t="shared" si="2"/>
        <v>97</v>
      </c>
      <c r="O61" s="54">
        <f t="shared" si="3"/>
        <v>3</v>
      </c>
      <c r="P61" s="72"/>
      <c r="Q61" s="63"/>
      <c r="R61" s="63"/>
      <c r="S61" s="62"/>
    </row>
    <row r="62" spans="2:19" ht="12" hidden="1" customHeight="1">
      <c r="B62" s="46" t="s">
        <v>314</v>
      </c>
      <c r="C62" s="47" t="s">
        <v>315</v>
      </c>
      <c r="D62" s="47" t="s">
        <v>174</v>
      </c>
      <c r="E62" s="48" t="s">
        <v>185</v>
      </c>
      <c r="F62" s="48" t="s">
        <v>184</v>
      </c>
      <c r="G62" s="48">
        <v>40</v>
      </c>
      <c r="H62" s="48">
        <v>40</v>
      </c>
      <c r="I62" s="49">
        <v>2652286.48</v>
      </c>
      <c r="J62" s="49">
        <f t="shared" si="0"/>
        <v>66307.161999999997</v>
      </c>
      <c r="K62" s="65">
        <v>1</v>
      </c>
      <c r="L62" s="55" t="s">
        <v>160</v>
      </c>
      <c r="M62" s="53">
        <f t="shared" si="1"/>
        <v>88</v>
      </c>
      <c r="N62" s="53">
        <f t="shared" si="2"/>
        <v>88</v>
      </c>
      <c r="O62" s="54">
        <f t="shared" si="3"/>
        <v>3</v>
      </c>
      <c r="P62" s="72"/>
      <c r="Q62" s="63"/>
      <c r="R62" s="63"/>
      <c r="S62" s="62"/>
    </row>
    <row r="63" spans="2:19" ht="12" hidden="1" customHeight="1">
      <c r="B63" s="46" t="s">
        <v>316</v>
      </c>
      <c r="C63" s="47" t="s">
        <v>317</v>
      </c>
      <c r="D63" s="47" t="s">
        <v>135</v>
      </c>
      <c r="E63" s="48" t="s">
        <v>183</v>
      </c>
      <c r="F63" s="48" t="s">
        <v>184</v>
      </c>
      <c r="G63" s="48">
        <v>55</v>
      </c>
      <c r="H63" s="48">
        <v>64</v>
      </c>
      <c r="I63" s="49">
        <v>2530675.4900000002</v>
      </c>
      <c r="J63" s="49">
        <f t="shared" si="0"/>
        <v>46012.281636363638</v>
      </c>
      <c r="K63" s="65">
        <v>1</v>
      </c>
      <c r="L63" s="55" t="s">
        <v>161</v>
      </c>
      <c r="M63" s="53">
        <f t="shared" si="1"/>
        <v>384</v>
      </c>
      <c r="N63" s="53">
        <f t="shared" si="2"/>
        <v>415</v>
      </c>
      <c r="O63" s="54">
        <f t="shared" si="3"/>
        <v>14</v>
      </c>
      <c r="P63" s="72"/>
      <c r="Q63" s="63"/>
      <c r="R63" s="63"/>
      <c r="S63" s="62"/>
    </row>
    <row r="64" spans="2:19" ht="12" hidden="1" customHeight="1">
      <c r="B64" s="46" t="s">
        <v>318</v>
      </c>
      <c r="C64" s="47" t="s">
        <v>319</v>
      </c>
      <c r="D64" s="47" t="s">
        <v>154</v>
      </c>
      <c r="E64" s="48" t="s">
        <v>185</v>
      </c>
      <c r="F64" s="48" t="s">
        <v>184</v>
      </c>
      <c r="G64" s="48">
        <v>35</v>
      </c>
      <c r="H64" s="48">
        <v>35</v>
      </c>
      <c r="I64" s="49">
        <v>4272428.34</v>
      </c>
      <c r="J64" s="49">
        <f t="shared" si="0"/>
        <v>122069.38114285714</v>
      </c>
      <c r="K64" s="65">
        <v>1</v>
      </c>
      <c r="L64" s="55" t="s">
        <v>162</v>
      </c>
      <c r="M64" s="53">
        <f t="shared" si="1"/>
        <v>0</v>
      </c>
      <c r="N64" s="53">
        <f t="shared" si="2"/>
        <v>0</v>
      </c>
      <c r="O64" s="54">
        <f t="shared" si="3"/>
        <v>0</v>
      </c>
      <c r="P64" s="72"/>
      <c r="Q64" s="63"/>
      <c r="R64" s="63"/>
      <c r="S64" s="62"/>
    </row>
    <row r="65" spans="2:19" ht="12" hidden="1" customHeight="1">
      <c r="B65" s="46" t="s">
        <v>320</v>
      </c>
      <c r="C65" s="47" t="s">
        <v>321</v>
      </c>
      <c r="D65" s="47" t="s">
        <v>106</v>
      </c>
      <c r="E65" s="48" t="s">
        <v>183</v>
      </c>
      <c r="F65" s="48" t="s">
        <v>184</v>
      </c>
      <c r="G65" s="48">
        <v>20</v>
      </c>
      <c r="H65" s="48">
        <v>20</v>
      </c>
      <c r="I65" s="49">
        <v>845880.33</v>
      </c>
      <c r="J65" s="49">
        <f t="shared" si="0"/>
        <v>42294.016499999998</v>
      </c>
      <c r="K65" s="65">
        <v>1</v>
      </c>
      <c r="L65" s="55" t="s">
        <v>34</v>
      </c>
      <c r="M65" s="53">
        <f t="shared" si="1"/>
        <v>0</v>
      </c>
      <c r="N65" s="53">
        <f t="shared" si="2"/>
        <v>0</v>
      </c>
      <c r="O65" s="54">
        <f t="shared" si="3"/>
        <v>0</v>
      </c>
      <c r="P65" s="72"/>
      <c r="Q65" s="63"/>
      <c r="R65" s="63"/>
      <c r="S65" s="62"/>
    </row>
    <row r="66" spans="2:19" ht="12" hidden="1" customHeight="1">
      <c r="B66" s="46" t="s">
        <v>322</v>
      </c>
      <c r="C66" s="47" t="s">
        <v>323</v>
      </c>
      <c r="D66" s="47" t="s">
        <v>174</v>
      </c>
      <c r="E66" s="48" t="s">
        <v>185</v>
      </c>
      <c r="F66" s="48" t="s">
        <v>184</v>
      </c>
      <c r="G66" s="48">
        <v>90</v>
      </c>
      <c r="H66" s="48">
        <v>100</v>
      </c>
      <c r="I66" s="49">
        <v>17846734.66</v>
      </c>
      <c r="J66" s="49">
        <f t="shared" si="0"/>
        <v>198297.05177777779</v>
      </c>
      <c r="K66" s="65">
        <v>1</v>
      </c>
      <c r="L66" s="55" t="s">
        <v>164</v>
      </c>
      <c r="M66" s="53">
        <f t="shared" si="1"/>
        <v>105</v>
      </c>
      <c r="N66" s="53">
        <f t="shared" si="2"/>
        <v>105</v>
      </c>
      <c r="O66" s="54">
        <f t="shared" si="3"/>
        <v>4</v>
      </c>
      <c r="P66" s="72"/>
      <c r="Q66" s="63"/>
      <c r="R66" s="63"/>
      <c r="S66" s="62"/>
    </row>
    <row r="67" spans="2:19" ht="12" hidden="1" customHeight="1">
      <c r="B67" s="46" t="s">
        <v>324</v>
      </c>
      <c r="C67" s="47" t="s">
        <v>325</v>
      </c>
      <c r="D67" s="47" t="s">
        <v>38</v>
      </c>
      <c r="E67" s="48" t="s">
        <v>185</v>
      </c>
      <c r="F67" s="48" t="s">
        <v>184</v>
      </c>
      <c r="G67" s="48">
        <v>73</v>
      </c>
      <c r="H67" s="48">
        <v>103</v>
      </c>
      <c r="I67" s="49">
        <v>12011288.65</v>
      </c>
      <c r="J67" s="49">
        <f t="shared" si="0"/>
        <v>164538.20068493151</v>
      </c>
      <c r="K67" s="65">
        <v>1</v>
      </c>
      <c r="L67" s="55" t="s">
        <v>35</v>
      </c>
      <c r="M67" s="53">
        <f t="shared" si="1"/>
        <v>75</v>
      </c>
      <c r="N67" s="53">
        <f t="shared" si="2"/>
        <v>75</v>
      </c>
      <c r="O67" s="54">
        <f t="shared" si="3"/>
        <v>2</v>
      </c>
      <c r="P67" s="72"/>
      <c r="Q67" s="63"/>
      <c r="R67" s="63"/>
      <c r="S67" s="62"/>
    </row>
    <row r="68" spans="2:19" ht="12" hidden="1" customHeight="1">
      <c r="B68" s="46" t="s">
        <v>326</v>
      </c>
      <c r="C68" s="47" t="s">
        <v>327</v>
      </c>
      <c r="D68" s="47" t="s">
        <v>115</v>
      </c>
      <c r="E68" s="48" t="s">
        <v>183</v>
      </c>
      <c r="F68" s="48" t="s">
        <v>184</v>
      </c>
      <c r="G68" s="48">
        <v>105</v>
      </c>
      <c r="H68" s="48">
        <v>105</v>
      </c>
      <c r="I68" s="49">
        <v>10432172.02</v>
      </c>
      <c r="J68" s="49">
        <f t="shared" si="0"/>
        <v>99354.019238095236</v>
      </c>
      <c r="K68" s="65">
        <v>1</v>
      </c>
      <c r="L68" s="55" t="s">
        <v>166</v>
      </c>
      <c r="M68" s="53">
        <f t="shared" si="1"/>
        <v>295</v>
      </c>
      <c r="N68" s="53">
        <f t="shared" si="2"/>
        <v>295</v>
      </c>
      <c r="O68" s="54">
        <f t="shared" si="3"/>
        <v>7</v>
      </c>
      <c r="P68" s="72"/>
      <c r="Q68" s="63"/>
      <c r="R68" s="63"/>
      <c r="S68" s="62"/>
    </row>
    <row r="69" spans="2:19" ht="12" hidden="1" customHeight="1">
      <c r="B69" s="46" t="s">
        <v>328</v>
      </c>
      <c r="C69" s="47" t="s">
        <v>329</v>
      </c>
      <c r="D69" s="47" t="s">
        <v>174</v>
      </c>
      <c r="E69" s="48" t="s">
        <v>183</v>
      </c>
      <c r="F69" s="48" t="s">
        <v>184</v>
      </c>
      <c r="G69" s="48">
        <v>75</v>
      </c>
      <c r="H69" s="48">
        <v>75</v>
      </c>
      <c r="I69" s="49">
        <v>5800974.8099999996</v>
      </c>
      <c r="J69" s="49">
        <f t="shared" ref="J69:J132" si="4">IF(I69&gt;0,I69/G69,"")</f>
        <v>77346.330799999996</v>
      </c>
      <c r="K69" s="65">
        <v>1</v>
      </c>
      <c r="L69" s="55" t="s">
        <v>36</v>
      </c>
      <c r="M69" s="53">
        <f t="shared" si="1"/>
        <v>32</v>
      </c>
      <c r="N69" s="53">
        <f t="shared" si="2"/>
        <v>32</v>
      </c>
      <c r="O69" s="54">
        <f t="shared" si="3"/>
        <v>1</v>
      </c>
      <c r="P69" s="72"/>
      <c r="Q69" s="63"/>
      <c r="R69" s="63"/>
      <c r="S69" s="62"/>
    </row>
    <row r="70" spans="2:19" ht="12" hidden="1" customHeight="1">
      <c r="B70" s="46" t="s">
        <v>330</v>
      </c>
      <c r="C70" s="47" t="s">
        <v>331</v>
      </c>
      <c r="D70" s="47" t="s">
        <v>124</v>
      </c>
      <c r="E70" s="48" t="s">
        <v>183</v>
      </c>
      <c r="F70" s="48" t="s">
        <v>184</v>
      </c>
      <c r="G70" s="48">
        <v>105</v>
      </c>
      <c r="H70" s="48">
        <v>105</v>
      </c>
      <c r="I70" s="49">
        <v>11771962.74</v>
      </c>
      <c r="J70" s="49">
        <f t="shared" si="4"/>
        <v>112113.93085714286</v>
      </c>
      <c r="K70" s="65">
        <v>1</v>
      </c>
      <c r="L70" s="55" t="s">
        <v>168</v>
      </c>
      <c r="M70" s="53">
        <f t="shared" ref="M70:M83" si="5">SUMIF(D$4:D$544,L70,G$4:G$544)</f>
        <v>107</v>
      </c>
      <c r="N70" s="53">
        <f t="shared" ref="N70:N83" si="6">SUMIF(D$4:D$544,L70,H$4:H$544)</f>
        <v>111</v>
      </c>
      <c r="O70" s="54">
        <f t="shared" ref="O70:O83" si="7">SUMIF(D$4:D$544,L70,K$4:K$544)</f>
        <v>4</v>
      </c>
      <c r="P70" s="72"/>
      <c r="Q70" s="63"/>
      <c r="R70" s="63"/>
      <c r="S70" s="62"/>
    </row>
    <row r="71" spans="2:19" ht="12" hidden="1" customHeight="1">
      <c r="B71" s="46" t="s">
        <v>332</v>
      </c>
      <c r="C71" s="47" t="s">
        <v>333</v>
      </c>
      <c r="D71" s="47" t="s">
        <v>124</v>
      </c>
      <c r="E71" s="48" t="s">
        <v>183</v>
      </c>
      <c r="F71" s="48" t="s">
        <v>184</v>
      </c>
      <c r="G71" s="48">
        <v>52</v>
      </c>
      <c r="H71" s="48">
        <v>52</v>
      </c>
      <c r="I71" s="49">
        <v>2017997.14</v>
      </c>
      <c r="J71" s="49">
        <f t="shared" si="4"/>
        <v>38807.637307692305</v>
      </c>
      <c r="K71" s="65">
        <v>1</v>
      </c>
      <c r="L71" s="55" t="s">
        <v>169</v>
      </c>
      <c r="M71" s="53">
        <f t="shared" si="5"/>
        <v>134</v>
      </c>
      <c r="N71" s="53">
        <f t="shared" si="6"/>
        <v>134</v>
      </c>
      <c r="O71" s="54">
        <f t="shared" si="7"/>
        <v>4</v>
      </c>
      <c r="P71" s="72"/>
      <c r="Q71" s="63"/>
      <c r="R71" s="63"/>
      <c r="S71" s="62"/>
    </row>
    <row r="72" spans="2:19" ht="12" hidden="1" customHeight="1">
      <c r="B72" s="46" t="s">
        <v>334</v>
      </c>
      <c r="C72" s="47" t="s">
        <v>335</v>
      </c>
      <c r="D72" s="47" t="s">
        <v>146</v>
      </c>
      <c r="E72" s="48" t="s">
        <v>183</v>
      </c>
      <c r="F72" s="48" t="s">
        <v>184</v>
      </c>
      <c r="G72" s="48">
        <v>41</v>
      </c>
      <c r="H72" s="48">
        <v>46</v>
      </c>
      <c r="I72" s="49">
        <v>982417.66</v>
      </c>
      <c r="J72" s="49">
        <f t="shared" si="4"/>
        <v>23961.406341463415</v>
      </c>
      <c r="K72" s="65">
        <v>1</v>
      </c>
      <c r="L72" s="55" t="s">
        <v>37</v>
      </c>
      <c r="M72" s="53">
        <f t="shared" si="5"/>
        <v>10</v>
      </c>
      <c r="N72" s="53">
        <f t="shared" si="6"/>
        <v>10</v>
      </c>
      <c r="O72" s="54">
        <f t="shared" si="7"/>
        <v>1</v>
      </c>
      <c r="P72" s="72"/>
      <c r="Q72" s="63"/>
      <c r="R72" s="63"/>
      <c r="S72" s="62"/>
    </row>
    <row r="73" spans="2:19" ht="12" hidden="1" customHeight="1">
      <c r="B73" s="46" t="s">
        <v>336</v>
      </c>
      <c r="C73" s="47" t="s">
        <v>337</v>
      </c>
      <c r="D73" s="47" t="s">
        <v>151</v>
      </c>
      <c r="E73" s="48" t="s">
        <v>185</v>
      </c>
      <c r="F73" s="48" t="s">
        <v>184</v>
      </c>
      <c r="G73" s="48">
        <v>65</v>
      </c>
      <c r="H73" s="48">
        <v>75</v>
      </c>
      <c r="I73" s="49">
        <v>6692839.2300000004</v>
      </c>
      <c r="J73" s="49">
        <f t="shared" si="4"/>
        <v>102966.7573846154</v>
      </c>
      <c r="K73" s="65">
        <v>1</v>
      </c>
      <c r="L73" s="55" t="s">
        <v>171</v>
      </c>
      <c r="M73" s="53">
        <f t="shared" si="5"/>
        <v>130</v>
      </c>
      <c r="N73" s="53">
        <f t="shared" si="6"/>
        <v>130</v>
      </c>
      <c r="O73" s="54">
        <f t="shared" si="7"/>
        <v>4</v>
      </c>
      <c r="P73" s="72"/>
      <c r="Q73" s="63"/>
      <c r="R73" s="63"/>
      <c r="S73" s="62"/>
    </row>
    <row r="74" spans="2:19" ht="12" hidden="1" customHeight="1">
      <c r="B74" s="46" t="s">
        <v>338</v>
      </c>
      <c r="C74" s="47" t="s">
        <v>339</v>
      </c>
      <c r="D74" s="47" t="s">
        <v>190</v>
      </c>
      <c r="E74" s="48" t="s">
        <v>183</v>
      </c>
      <c r="F74" s="48" t="s">
        <v>183</v>
      </c>
      <c r="G74" s="48">
        <v>33</v>
      </c>
      <c r="H74" s="48">
        <v>33</v>
      </c>
      <c r="I74" s="49">
        <v>1388234.88</v>
      </c>
      <c r="J74" s="49">
        <f t="shared" si="4"/>
        <v>42067.723636363633</v>
      </c>
      <c r="K74" s="65">
        <v>1</v>
      </c>
      <c r="L74" s="55" t="s">
        <v>179</v>
      </c>
      <c r="M74" s="53">
        <f t="shared" si="5"/>
        <v>234</v>
      </c>
      <c r="N74" s="53">
        <f t="shared" si="6"/>
        <v>250</v>
      </c>
      <c r="O74" s="54">
        <f t="shared" si="7"/>
        <v>9</v>
      </c>
      <c r="P74" s="72"/>
      <c r="Q74" s="63"/>
      <c r="R74" s="63"/>
      <c r="S74" s="62"/>
    </row>
    <row r="75" spans="2:19" ht="12" hidden="1" customHeight="1">
      <c r="B75" s="46" t="s">
        <v>340</v>
      </c>
      <c r="C75" s="47" t="s">
        <v>341</v>
      </c>
      <c r="D75" s="47" t="s">
        <v>137</v>
      </c>
      <c r="E75" s="48" t="s">
        <v>185</v>
      </c>
      <c r="F75" s="48" t="s">
        <v>184</v>
      </c>
      <c r="G75" s="48">
        <v>40</v>
      </c>
      <c r="H75" s="48">
        <v>40</v>
      </c>
      <c r="I75" s="49">
        <v>4736676.04</v>
      </c>
      <c r="J75" s="49">
        <f t="shared" si="4"/>
        <v>118416.901</v>
      </c>
      <c r="K75" s="65">
        <v>1</v>
      </c>
      <c r="L75" s="55" t="s">
        <v>172</v>
      </c>
      <c r="M75" s="53">
        <f t="shared" si="5"/>
        <v>314</v>
      </c>
      <c r="N75" s="53">
        <f t="shared" si="6"/>
        <v>324</v>
      </c>
      <c r="O75" s="54">
        <f t="shared" si="7"/>
        <v>9</v>
      </c>
      <c r="P75" s="72"/>
      <c r="Q75" s="63"/>
      <c r="R75" s="63"/>
      <c r="S75" s="62"/>
    </row>
    <row r="76" spans="2:19" ht="12" hidden="1" customHeight="1">
      <c r="B76" s="46" t="s">
        <v>342</v>
      </c>
      <c r="C76" s="47" t="s">
        <v>343</v>
      </c>
      <c r="D76" s="47" t="s">
        <v>137</v>
      </c>
      <c r="E76" s="48" t="s">
        <v>183</v>
      </c>
      <c r="F76" s="48" t="s">
        <v>184</v>
      </c>
      <c r="G76" s="48">
        <v>41</v>
      </c>
      <c r="H76" s="48">
        <v>41</v>
      </c>
      <c r="I76" s="49">
        <v>2110605.87</v>
      </c>
      <c r="J76" s="49">
        <f t="shared" si="4"/>
        <v>51478.191951219516</v>
      </c>
      <c r="K76" s="65">
        <v>1</v>
      </c>
      <c r="L76" s="55" t="s">
        <v>180</v>
      </c>
      <c r="M76" s="53">
        <f t="shared" si="5"/>
        <v>0</v>
      </c>
      <c r="N76" s="53">
        <f t="shared" si="6"/>
        <v>0</v>
      </c>
      <c r="O76" s="54">
        <f t="shared" si="7"/>
        <v>0</v>
      </c>
      <c r="P76" s="72"/>
      <c r="Q76" s="63"/>
      <c r="R76" s="63"/>
      <c r="S76" s="62"/>
    </row>
    <row r="77" spans="2:19" ht="12" hidden="1" customHeight="1">
      <c r="B77" s="46" t="s">
        <v>344</v>
      </c>
      <c r="C77" s="47" t="s">
        <v>345</v>
      </c>
      <c r="D77" s="47" t="s">
        <v>142</v>
      </c>
      <c r="E77" s="48" t="s">
        <v>185</v>
      </c>
      <c r="F77" s="48" t="s">
        <v>184</v>
      </c>
      <c r="G77" s="48">
        <v>50</v>
      </c>
      <c r="H77" s="48">
        <v>50</v>
      </c>
      <c r="I77" s="49">
        <v>7281941.4000000004</v>
      </c>
      <c r="J77" s="49">
        <f t="shared" si="4"/>
        <v>145638.82800000001</v>
      </c>
      <c r="K77" s="65">
        <v>1</v>
      </c>
      <c r="L77" s="55" t="s">
        <v>38</v>
      </c>
      <c r="M77" s="53">
        <f t="shared" si="5"/>
        <v>425</v>
      </c>
      <c r="N77" s="53">
        <f t="shared" si="6"/>
        <v>554</v>
      </c>
      <c r="O77" s="54">
        <f t="shared" si="7"/>
        <v>7</v>
      </c>
      <c r="P77" s="72"/>
      <c r="Q77" s="63"/>
      <c r="R77" s="63"/>
      <c r="S77" s="62"/>
    </row>
    <row r="78" spans="2:19" ht="12" hidden="1" customHeight="1">
      <c r="B78" s="46" t="s">
        <v>346</v>
      </c>
      <c r="C78" s="47" t="s">
        <v>347</v>
      </c>
      <c r="D78" s="47" t="s">
        <v>177</v>
      </c>
      <c r="E78" s="48" t="s">
        <v>183</v>
      </c>
      <c r="F78" s="48" t="s">
        <v>184</v>
      </c>
      <c r="G78" s="48">
        <v>37</v>
      </c>
      <c r="H78" s="48">
        <v>37</v>
      </c>
      <c r="I78" s="49">
        <v>1173399.1299999999</v>
      </c>
      <c r="J78" s="49">
        <f t="shared" si="4"/>
        <v>31713.489999999998</v>
      </c>
      <c r="K78" s="65">
        <v>1</v>
      </c>
      <c r="L78" s="55" t="s">
        <v>174</v>
      </c>
      <c r="M78" s="53">
        <f t="shared" si="5"/>
        <v>648</v>
      </c>
      <c r="N78" s="53">
        <f t="shared" si="6"/>
        <v>691</v>
      </c>
      <c r="O78" s="54">
        <f t="shared" si="7"/>
        <v>10</v>
      </c>
      <c r="P78" s="72"/>
      <c r="Q78" s="63"/>
      <c r="R78" s="63"/>
      <c r="S78" s="62"/>
    </row>
    <row r="79" spans="2:19" ht="12" hidden="1" customHeight="1">
      <c r="B79" s="46" t="s">
        <v>348</v>
      </c>
      <c r="C79" s="47" t="s">
        <v>349</v>
      </c>
      <c r="D79" s="47" t="s">
        <v>118</v>
      </c>
      <c r="E79" s="48" t="s">
        <v>183</v>
      </c>
      <c r="F79" s="48" t="s">
        <v>183</v>
      </c>
      <c r="G79" s="48">
        <v>20</v>
      </c>
      <c r="H79" s="48">
        <v>20</v>
      </c>
      <c r="I79" s="49">
        <v>1132717.1399999999</v>
      </c>
      <c r="J79" s="49">
        <f t="shared" si="4"/>
        <v>56635.856999999996</v>
      </c>
      <c r="K79" s="65">
        <v>1</v>
      </c>
      <c r="L79" s="55" t="s">
        <v>181</v>
      </c>
      <c r="M79" s="53">
        <f t="shared" si="5"/>
        <v>169</v>
      </c>
      <c r="N79" s="53">
        <f t="shared" si="6"/>
        <v>240</v>
      </c>
      <c r="O79" s="54">
        <f t="shared" si="7"/>
        <v>5</v>
      </c>
      <c r="P79" s="72"/>
      <c r="Q79" s="63"/>
      <c r="R79" s="63"/>
      <c r="S79" s="62"/>
    </row>
    <row r="80" spans="2:19" ht="12" hidden="1" customHeight="1">
      <c r="B80" s="46" t="s">
        <v>350</v>
      </c>
      <c r="C80" s="47" t="s">
        <v>351</v>
      </c>
      <c r="D80" s="47" t="s">
        <v>127</v>
      </c>
      <c r="E80" s="48" t="s">
        <v>185</v>
      </c>
      <c r="F80" s="48" t="s">
        <v>183</v>
      </c>
      <c r="G80" s="48">
        <v>39</v>
      </c>
      <c r="H80" s="48">
        <v>39</v>
      </c>
      <c r="I80" s="49">
        <v>3313564.73</v>
      </c>
      <c r="J80" s="49">
        <f t="shared" si="4"/>
        <v>84963.19820512821</v>
      </c>
      <c r="K80" s="65">
        <v>1</v>
      </c>
      <c r="L80" s="55" t="s">
        <v>175</v>
      </c>
      <c r="M80" s="53">
        <f t="shared" si="5"/>
        <v>891</v>
      </c>
      <c r="N80" s="53">
        <f t="shared" si="6"/>
        <v>893</v>
      </c>
      <c r="O80" s="54">
        <f t="shared" si="7"/>
        <v>14</v>
      </c>
      <c r="P80" s="72"/>
      <c r="Q80" s="63"/>
      <c r="R80" s="63"/>
      <c r="S80" s="62"/>
    </row>
    <row r="81" spans="2:19" ht="12" hidden="1" customHeight="1">
      <c r="B81" s="46" t="s">
        <v>352</v>
      </c>
      <c r="C81" s="47" t="s">
        <v>353</v>
      </c>
      <c r="D81" s="47" t="s">
        <v>179</v>
      </c>
      <c r="E81" s="48" t="s">
        <v>183</v>
      </c>
      <c r="F81" s="48" t="s">
        <v>183</v>
      </c>
      <c r="G81" s="48">
        <v>38</v>
      </c>
      <c r="H81" s="48">
        <v>38</v>
      </c>
      <c r="I81" s="49">
        <v>2992705.34</v>
      </c>
      <c r="J81" s="49">
        <f t="shared" si="4"/>
        <v>78755.403684210527</v>
      </c>
      <c r="K81" s="65">
        <v>1</v>
      </c>
      <c r="L81" s="55" t="s">
        <v>39</v>
      </c>
      <c r="M81" s="53">
        <f t="shared" si="5"/>
        <v>308</v>
      </c>
      <c r="N81" s="53">
        <f t="shared" si="6"/>
        <v>338</v>
      </c>
      <c r="O81" s="54">
        <f t="shared" si="7"/>
        <v>10</v>
      </c>
      <c r="P81" s="72"/>
      <c r="Q81" s="63"/>
      <c r="R81" s="63"/>
      <c r="S81" s="62"/>
    </row>
    <row r="82" spans="2:19" ht="12" hidden="1" customHeight="1">
      <c r="B82" s="46" t="s">
        <v>354</v>
      </c>
      <c r="C82" s="47" t="s">
        <v>355</v>
      </c>
      <c r="D82" s="47" t="s">
        <v>137</v>
      </c>
      <c r="E82" s="48" t="s">
        <v>183</v>
      </c>
      <c r="F82" s="48" t="s">
        <v>184</v>
      </c>
      <c r="G82" s="48">
        <v>29</v>
      </c>
      <c r="H82" s="48">
        <v>29</v>
      </c>
      <c r="I82" s="49">
        <v>1665803.5</v>
      </c>
      <c r="J82" s="49">
        <f t="shared" si="4"/>
        <v>57441.5</v>
      </c>
      <c r="K82" s="65">
        <v>1</v>
      </c>
      <c r="L82" s="55" t="s">
        <v>177</v>
      </c>
      <c r="M82" s="53">
        <f t="shared" si="5"/>
        <v>340</v>
      </c>
      <c r="N82" s="53">
        <f t="shared" si="6"/>
        <v>355</v>
      </c>
      <c r="O82" s="54">
        <f t="shared" si="7"/>
        <v>8</v>
      </c>
      <c r="P82" s="72"/>
      <c r="Q82" s="63"/>
      <c r="R82" s="63"/>
      <c r="S82" s="62"/>
    </row>
    <row r="83" spans="2:19" ht="12" hidden="1" customHeight="1">
      <c r="B83" s="46" t="s">
        <v>356</v>
      </c>
      <c r="C83" s="47" t="s">
        <v>357</v>
      </c>
      <c r="D83" s="47" t="s">
        <v>151</v>
      </c>
      <c r="E83" s="48" t="s">
        <v>183</v>
      </c>
      <c r="F83" s="48" t="s">
        <v>184</v>
      </c>
      <c r="G83" s="48">
        <v>71</v>
      </c>
      <c r="H83" s="48">
        <v>71</v>
      </c>
      <c r="I83" s="49">
        <v>3712641.11</v>
      </c>
      <c r="J83" s="49">
        <f t="shared" si="4"/>
        <v>52290.719859154931</v>
      </c>
      <c r="K83" s="65">
        <v>1</v>
      </c>
      <c r="L83" s="55" t="s">
        <v>178</v>
      </c>
      <c r="M83" s="53">
        <f t="shared" si="5"/>
        <v>0</v>
      </c>
      <c r="N83" s="53">
        <f t="shared" si="6"/>
        <v>0</v>
      </c>
      <c r="O83" s="54">
        <f t="shared" si="7"/>
        <v>0</v>
      </c>
      <c r="P83" s="72"/>
      <c r="Q83" s="63"/>
      <c r="R83" s="63"/>
      <c r="S83" s="62"/>
    </row>
    <row r="84" spans="2:19" ht="12" hidden="1" customHeight="1">
      <c r="B84" s="46" t="s">
        <v>358</v>
      </c>
      <c r="C84" s="47" t="s">
        <v>359</v>
      </c>
      <c r="D84" s="47" t="s">
        <v>129</v>
      </c>
      <c r="E84" s="48" t="s">
        <v>183</v>
      </c>
      <c r="F84" s="48" t="s">
        <v>183</v>
      </c>
      <c r="G84" s="48">
        <v>40</v>
      </c>
      <c r="H84" s="48">
        <v>40</v>
      </c>
      <c r="I84" s="49">
        <v>3082922.4</v>
      </c>
      <c r="J84" s="49">
        <f t="shared" si="4"/>
        <v>77073.06</v>
      </c>
      <c r="K84" s="65">
        <v>1</v>
      </c>
      <c r="L84" s="53"/>
      <c r="M84" s="53">
        <f>SUM(M5:M83)</f>
        <v>25730</v>
      </c>
      <c r="N84" s="53">
        <f>SUM(N5:N83)</f>
        <v>27220</v>
      </c>
      <c r="O84" s="54">
        <f>SUM(O5:O83)</f>
        <v>539</v>
      </c>
      <c r="P84" s="72"/>
      <c r="Q84" s="63"/>
      <c r="R84" s="63"/>
      <c r="S84" s="62"/>
    </row>
    <row r="85" spans="2:19" ht="12" hidden="1" customHeight="1">
      <c r="B85" s="46" t="s">
        <v>360</v>
      </c>
      <c r="C85" s="47" t="s">
        <v>361</v>
      </c>
      <c r="D85" s="47" t="s">
        <v>146</v>
      </c>
      <c r="E85" s="48" t="s">
        <v>183</v>
      </c>
      <c r="F85" s="48" t="s">
        <v>184</v>
      </c>
      <c r="G85" s="48">
        <v>100</v>
      </c>
      <c r="H85" s="48">
        <v>100</v>
      </c>
      <c r="I85" s="49">
        <v>8532975.75</v>
      </c>
      <c r="J85" s="49">
        <f t="shared" si="4"/>
        <v>85329.757500000007</v>
      </c>
      <c r="K85" s="65">
        <v>1</v>
      </c>
      <c r="L85" s="53"/>
      <c r="M85" s="53"/>
      <c r="N85" s="53"/>
      <c r="O85" s="54"/>
      <c r="P85" s="72"/>
      <c r="Q85" s="63"/>
      <c r="R85" s="63"/>
      <c r="S85" s="62"/>
    </row>
    <row r="86" spans="2:19" ht="12" hidden="1" customHeight="1">
      <c r="B86" s="46" t="s">
        <v>362</v>
      </c>
      <c r="C86" s="47" t="s">
        <v>363</v>
      </c>
      <c r="D86" s="47" t="s">
        <v>111</v>
      </c>
      <c r="E86" s="48" t="s">
        <v>183</v>
      </c>
      <c r="F86" s="48" t="s">
        <v>184</v>
      </c>
      <c r="G86" s="48">
        <v>43</v>
      </c>
      <c r="H86" s="48">
        <v>43</v>
      </c>
      <c r="I86" s="49">
        <v>1328157.4099999999</v>
      </c>
      <c r="J86" s="49">
        <f t="shared" si="4"/>
        <v>30887.381627906976</v>
      </c>
      <c r="K86" s="65">
        <v>1</v>
      </c>
      <c r="L86" s="53"/>
      <c r="M86" s="53"/>
      <c r="N86" s="53"/>
      <c r="O86" s="54"/>
      <c r="P86" s="72"/>
      <c r="Q86" s="63"/>
      <c r="R86" s="63"/>
      <c r="S86" s="62"/>
    </row>
    <row r="87" spans="2:19" ht="12" hidden="1" customHeight="1">
      <c r="B87" s="46" t="s">
        <v>364</v>
      </c>
      <c r="C87" s="47" t="s">
        <v>365</v>
      </c>
      <c r="D87" s="47" t="s">
        <v>145</v>
      </c>
      <c r="E87" s="48" t="s">
        <v>185</v>
      </c>
      <c r="F87" s="48" t="s">
        <v>184</v>
      </c>
      <c r="G87" s="48">
        <v>0</v>
      </c>
      <c r="H87" s="48">
        <v>0</v>
      </c>
      <c r="I87" s="49">
        <v>2306999.88</v>
      </c>
      <c r="J87" s="49" t="e">
        <f t="shared" si="4"/>
        <v>#DIV/0!</v>
      </c>
      <c r="K87" s="65">
        <v>1</v>
      </c>
      <c r="L87" s="53"/>
      <c r="M87" s="53"/>
      <c r="N87" s="53"/>
      <c r="O87" s="54"/>
      <c r="P87" s="72"/>
      <c r="Q87" s="63"/>
      <c r="R87" s="63"/>
      <c r="S87" s="62"/>
    </row>
    <row r="88" spans="2:19" ht="12" hidden="1" customHeight="1">
      <c r="B88" s="46" t="s">
        <v>364</v>
      </c>
      <c r="C88" s="47" t="s">
        <v>365</v>
      </c>
      <c r="D88" s="47" t="s">
        <v>145</v>
      </c>
      <c r="E88" s="48" t="s">
        <v>185</v>
      </c>
      <c r="F88" s="48" t="s">
        <v>184</v>
      </c>
      <c r="G88" s="48">
        <v>60</v>
      </c>
      <c r="H88" s="48">
        <v>75</v>
      </c>
      <c r="I88" s="49">
        <v>2083631.4</v>
      </c>
      <c r="J88" s="49">
        <f t="shared" si="4"/>
        <v>34727.189999999995</v>
      </c>
      <c r="K88" s="65">
        <v>1</v>
      </c>
      <c r="L88" s="53"/>
      <c r="M88" s="53"/>
      <c r="N88" s="53"/>
      <c r="O88" s="54"/>
      <c r="P88" s="72"/>
      <c r="Q88" s="63"/>
      <c r="R88" s="63"/>
      <c r="S88" s="62"/>
    </row>
    <row r="89" spans="2:19" ht="12" hidden="1" customHeight="1">
      <c r="B89" s="46" t="s">
        <v>366</v>
      </c>
      <c r="C89" s="47" t="s">
        <v>367</v>
      </c>
      <c r="D89" s="47" t="s">
        <v>138</v>
      </c>
      <c r="E89" s="48" t="s">
        <v>185</v>
      </c>
      <c r="F89" s="48" t="s">
        <v>184</v>
      </c>
      <c r="G89" s="48">
        <v>40</v>
      </c>
      <c r="H89" s="48">
        <v>45</v>
      </c>
      <c r="I89" s="49">
        <v>4979764.7300000004</v>
      </c>
      <c r="J89" s="49">
        <f t="shared" si="4"/>
        <v>124494.11825000001</v>
      </c>
      <c r="K89" s="65">
        <v>1</v>
      </c>
      <c r="L89" s="53"/>
      <c r="M89" s="53"/>
      <c r="N89" s="53"/>
      <c r="O89" s="54"/>
      <c r="P89" s="72"/>
      <c r="Q89" s="63"/>
      <c r="R89" s="63"/>
      <c r="S89" s="62"/>
    </row>
    <row r="90" spans="2:19" ht="12" hidden="1" customHeight="1">
      <c r="B90" s="46" t="s">
        <v>368</v>
      </c>
      <c r="C90" s="47" t="s">
        <v>369</v>
      </c>
      <c r="D90" s="47" t="s">
        <v>108</v>
      </c>
      <c r="E90" s="48" t="s">
        <v>185</v>
      </c>
      <c r="F90" s="48" t="s">
        <v>183</v>
      </c>
      <c r="G90" s="48">
        <v>30</v>
      </c>
      <c r="H90" s="48">
        <v>30</v>
      </c>
      <c r="I90" s="49">
        <v>2414345.84</v>
      </c>
      <c r="J90" s="49">
        <f t="shared" si="4"/>
        <v>80478.194666666663</v>
      </c>
      <c r="K90" s="65">
        <v>1</v>
      </c>
      <c r="L90" s="53"/>
      <c r="M90" s="53"/>
      <c r="N90" s="53"/>
      <c r="O90" s="54"/>
      <c r="P90" s="72"/>
      <c r="Q90" s="63"/>
      <c r="R90" s="63"/>
      <c r="S90" s="62"/>
    </row>
    <row r="91" spans="2:19" ht="12" hidden="1" customHeight="1">
      <c r="B91" s="46" t="s">
        <v>370</v>
      </c>
      <c r="C91" s="47" t="s">
        <v>371</v>
      </c>
      <c r="D91" s="47" t="s">
        <v>112</v>
      </c>
      <c r="E91" s="48" t="s">
        <v>183</v>
      </c>
      <c r="F91" s="48" t="s">
        <v>184</v>
      </c>
      <c r="G91" s="48">
        <v>60</v>
      </c>
      <c r="H91" s="48">
        <v>60</v>
      </c>
      <c r="I91" s="49">
        <v>5716235.2300000004</v>
      </c>
      <c r="J91" s="49">
        <f t="shared" si="4"/>
        <v>95270.587166666679</v>
      </c>
      <c r="K91" s="65">
        <v>1</v>
      </c>
      <c r="L91" s="53"/>
      <c r="M91" s="53"/>
      <c r="N91" s="53"/>
      <c r="O91" s="54"/>
      <c r="P91" s="72"/>
      <c r="Q91" s="63"/>
      <c r="R91" s="63"/>
      <c r="S91" s="62"/>
    </row>
    <row r="92" spans="2:19" ht="12" hidden="1" customHeight="1">
      <c r="B92" s="46" t="s">
        <v>372</v>
      </c>
      <c r="C92" s="47" t="s">
        <v>373</v>
      </c>
      <c r="D92" s="47" t="s">
        <v>145</v>
      </c>
      <c r="E92" s="48" t="s">
        <v>183</v>
      </c>
      <c r="F92" s="48" t="s">
        <v>184</v>
      </c>
      <c r="G92" s="48">
        <v>100</v>
      </c>
      <c r="H92" s="48">
        <v>100</v>
      </c>
      <c r="I92" s="49">
        <v>8270351.3600000003</v>
      </c>
      <c r="J92" s="49">
        <f t="shared" si="4"/>
        <v>82703.513600000006</v>
      </c>
      <c r="K92" s="65">
        <v>1</v>
      </c>
      <c r="L92" s="53"/>
      <c r="M92" s="53"/>
      <c r="N92" s="53"/>
      <c r="O92" s="54"/>
      <c r="P92" s="72"/>
      <c r="Q92" s="63"/>
      <c r="R92" s="63"/>
      <c r="S92" s="62"/>
    </row>
    <row r="93" spans="2:19" ht="12" hidden="1" customHeight="1">
      <c r="B93" s="46" t="s">
        <v>374</v>
      </c>
      <c r="C93" s="47" t="s">
        <v>375</v>
      </c>
      <c r="D93" s="47" t="s">
        <v>133</v>
      </c>
      <c r="E93" s="48" t="s">
        <v>183</v>
      </c>
      <c r="F93" s="48" t="s">
        <v>184</v>
      </c>
      <c r="G93" s="48">
        <v>60</v>
      </c>
      <c r="H93" s="48">
        <v>60</v>
      </c>
      <c r="I93" s="49">
        <v>5806993.6500000004</v>
      </c>
      <c r="J93" s="49">
        <f t="shared" si="4"/>
        <v>96783.227500000008</v>
      </c>
      <c r="K93" s="65">
        <v>1</v>
      </c>
      <c r="L93" s="53"/>
      <c r="M93" s="53"/>
      <c r="N93" s="53"/>
      <c r="O93" s="54"/>
      <c r="P93" s="72"/>
      <c r="Q93" s="63"/>
      <c r="R93" s="63"/>
      <c r="S93" s="62"/>
    </row>
    <row r="94" spans="2:19" ht="12" hidden="1" customHeight="1">
      <c r="B94" s="46" t="s">
        <v>376</v>
      </c>
      <c r="C94" s="47" t="s">
        <v>377</v>
      </c>
      <c r="D94" s="47" t="s">
        <v>144</v>
      </c>
      <c r="E94" s="48" t="s">
        <v>183</v>
      </c>
      <c r="F94" s="48" t="s">
        <v>184</v>
      </c>
      <c r="G94" s="48">
        <v>25</v>
      </c>
      <c r="H94" s="48">
        <v>30</v>
      </c>
      <c r="I94" s="49">
        <v>3127062.45</v>
      </c>
      <c r="J94" s="49">
        <f t="shared" si="4"/>
        <v>125082.49800000001</v>
      </c>
      <c r="K94" s="65">
        <v>1</v>
      </c>
      <c r="L94" s="53"/>
      <c r="M94" s="53"/>
      <c r="N94" s="53"/>
      <c r="O94" s="54"/>
      <c r="P94" s="72"/>
      <c r="Q94" s="63"/>
      <c r="R94" s="63"/>
      <c r="S94" s="62"/>
    </row>
    <row r="95" spans="2:19" ht="12" hidden="1" customHeight="1">
      <c r="B95" s="46" t="s">
        <v>378</v>
      </c>
      <c r="C95" s="47" t="s">
        <v>379</v>
      </c>
      <c r="D95" s="47" t="s">
        <v>145</v>
      </c>
      <c r="E95" s="48" t="s">
        <v>183</v>
      </c>
      <c r="F95" s="48" t="s">
        <v>184</v>
      </c>
      <c r="G95" s="48">
        <v>75</v>
      </c>
      <c r="H95" s="48">
        <v>75</v>
      </c>
      <c r="I95" s="49">
        <v>4480438.12</v>
      </c>
      <c r="J95" s="49">
        <f t="shared" si="4"/>
        <v>59739.174933333336</v>
      </c>
      <c r="K95" s="65">
        <v>1</v>
      </c>
      <c r="L95" s="53"/>
      <c r="M95" s="53"/>
      <c r="N95" s="53"/>
      <c r="O95" s="54"/>
      <c r="P95" s="72"/>
      <c r="Q95" s="63"/>
      <c r="R95" s="63"/>
      <c r="S95" s="62"/>
    </row>
    <row r="96" spans="2:19" ht="12" hidden="1" customHeight="1">
      <c r="B96" s="46" t="s">
        <v>380</v>
      </c>
      <c r="C96" s="47" t="s">
        <v>381</v>
      </c>
      <c r="D96" s="47" t="s">
        <v>166</v>
      </c>
      <c r="E96" s="48" t="s">
        <v>183</v>
      </c>
      <c r="F96" s="48" t="s">
        <v>184</v>
      </c>
      <c r="G96" s="48">
        <v>18</v>
      </c>
      <c r="H96" s="48">
        <v>18</v>
      </c>
      <c r="I96" s="49">
        <v>104154.8</v>
      </c>
      <c r="J96" s="49">
        <f t="shared" si="4"/>
        <v>5786.3777777777777</v>
      </c>
      <c r="K96" s="65">
        <v>1</v>
      </c>
      <c r="L96" s="53"/>
      <c r="M96" s="53"/>
      <c r="N96" s="53"/>
      <c r="O96" s="54"/>
      <c r="P96" s="72"/>
      <c r="Q96" s="63"/>
      <c r="R96" s="63"/>
      <c r="S96" s="62"/>
    </row>
    <row r="97" spans="2:19" ht="12" hidden="1" customHeight="1">
      <c r="B97" s="46" t="s">
        <v>382</v>
      </c>
      <c r="C97" s="47" t="s">
        <v>383</v>
      </c>
      <c r="D97" s="47" t="s">
        <v>142</v>
      </c>
      <c r="E97" s="48" t="s">
        <v>183</v>
      </c>
      <c r="F97" s="48" t="s">
        <v>184</v>
      </c>
      <c r="G97" s="48">
        <v>0</v>
      </c>
      <c r="H97" s="48">
        <v>27</v>
      </c>
      <c r="I97" s="49">
        <v>0</v>
      </c>
      <c r="J97" s="49" t="str">
        <f t="shared" si="4"/>
        <v/>
      </c>
      <c r="K97" s="65">
        <v>1</v>
      </c>
      <c r="L97" s="53"/>
      <c r="M97" s="53"/>
      <c r="N97" s="53"/>
      <c r="O97" s="54"/>
      <c r="P97" s="72"/>
      <c r="Q97" s="63"/>
      <c r="R97" s="63"/>
      <c r="S97" s="62"/>
    </row>
    <row r="98" spans="2:19" ht="12" hidden="1" customHeight="1">
      <c r="B98" s="46" t="s">
        <v>384</v>
      </c>
      <c r="C98" s="47" t="s">
        <v>385</v>
      </c>
      <c r="D98" s="47" t="s">
        <v>27</v>
      </c>
      <c r="E98" s="48" t="s">
        <v>183</v>
      </c>
      <c r="F98" s="48" t="s">
        <v>183</v>
      </c>
      <c r="G98" s="48">
        <v>28</v>
      </c>
      <c r="H98" s="48">
        <v>28</v>
      </c>
      <c r="I98" s="49">
        <v>1082564.98</v>
      </c>
      <c r="J98" s="49">
        <f t="shared" si="4"/>
        <v>38663.034999999996</v>
      </c>
      <c r="K98" s="65">
        <v>1</v>
      </c>
      <c r="L98" s="53"/>
      <c r="M98" s="53"/>
      <c r="N98" s="53"/>
      <c r="O98" s="54"/>
      <c r="P98" s="72"/>
      <c r="Q98" s="63"/>
      <c r="R98" s="63"/>
      <c r="S98" s="62"/>
    </row>
    <row r="99" spans="2:19" ht="12" hidden="1" customHeight="1">
      <c r="B99" s="46" t="s">
        <v>386</v>
      </c>
      <c r="C99" s="47" t="s">
        <v>387</v>
      </c>
      <c r="D99" s="47" t="s">
        <v>31</v>
      </c>
      <c r="E99" s="48" t="s">
        <v>185</v>
      </c>
      <c r="F99" s="48" t="s">
        <v>183</v>
      </c>
      <c r="G99" s="48">
        <v>38</v>
      </c>
      <c r="H99" s="48">
        <v>38</v>
      </c>
      <c r="I99" s="49">
        <v>1685568.29</v>
      </c>
      <c r="J99" s="49">
        <f t="shared" si="4"/>
        <v>44357.060263157895</v>
      </c>
      <c r="K99" s="65">
        <v>1</v>
      </c>
      <c r="L99" s="53"/>
      <c r="M99" s="53"/>
      <c r="N99" s="53"/>
      <c r="O99" s="54"/>
      <c r="P99" s="72"/>
      <c r="Q99" s="63"/>
      <c r="R99" s="63"/>
      <c r="S99" s="62"/>
    </row>
    <row r="100" spans="2:19" ht="12" hidden="1" customHeight="1">
      <c r="B100" s="46" t="s">
        <v>388</v>
      </c>
      <c r="C100" s="47" t="s">
        <v>389</v>
      </c>
      <c r="D100" s="47" t="s">
        <v>118</v>
      </c>
      <c r="E100" s="48" t="s">
        <v>183</v>
      </c>
      <c r="F100" s="48" t="s">
        <v>183</v>
      </c>
      <c r="G100" s="48">
        <v>20</v>
      </c>
      <c r="H100" s="48">
        <v>20</v>
      </c>
      <c r="I100" s="49">
        <v>937114.57</v>
      </c>
      <c r="J100" s="49">
        <f t="shared" si="4"/>
        <v>46855.728499999997</v>
      </c>
      <c r="K100" s="65">
        <v>1</v>
      </c>
      <c r="L100" s="53"/>
      <c r="M100" s="53"/>
      <c r="N100" s="53"/>
      <c r="O100" s="54"/>
      <c r="P100" s="72"/>
      <c r="Q100" s="63"/>
      <c r="R100" s="63"/>
      <c r="S100" s="62"/>
    </row>
    <row r="101" spans="2:19" ht="12" hidden="1" customHeight="1">
      <c r="B101" s="46" t="s">
        <v>390</v>
      </c>
      <c r="C101" s="47" t="s">
        <v>391</v>
      </c>
      <c r="D101" s="47" t="s">
        <v>118</v>
      </c>
      <c r="E101" s="48" t="s">
        <v>183</v>
      </c>
      <c r="F101" s="48" t="s">
        <v>183</v>
      </c>
      <c r="G101" s="48">
        <v>25</v>
      </c>
      <c r="H101" s="48">
        <v>25</v>
      </c>
      <c r="I101" s="49">
        <v>665727.46</v>
      </c>
      <c r="J101" s="49">
        <f t="shared" si="4"/>
        <v>26629.098399999999</v>
      </c>
      <c r="K101" s="65">
        <v>1</v>
      </c>
      <c r="L101" s="53"/>
      <c r="M101" s="53"/>
      <c r="N101" s="53"/>
      <c r="O101" s="54"/>
      <c r="P101" s="72"/>
      <c r="Q101" s="63"/>
      <c r="R101" s="63"/>
      <c r="S101" s="62"/>
    </row>
    <row r="102" spans="2:19" ht="12" hidden="1" customHeight="1">
      <c r="B102" s="46" t="s">
        <v>392</v>
      </c>
      <c r="C102" s="47" t="s">
        <v>393</v>
      </c>
      <c r="D102" s="47" t="s">
        <v>27</v>
      </c>
      <c r="E102" s="48" t="s">
        <v>185</v>
      </c>
      <c r="F102" s="48" t="s">
        <v>183</v>
      </c>
      <c r="G102" s="48">
        <v>29</v>
      </c>
      <c r="H102" s="48">
        <v>29</v>
      </c>
      <c r="I102" s="49">
        <v>1866871.92</v>
      </c>
      <c r="J102" s="49">
        <f t="shared" si="4"/>
        <v>64374.893793103445</v>
      </c>
      <c r="K102" s="65">
        <v>1</v>
      </c>
      <c r="L102" s="53"/>
      <c r="M102" s="53"/>
      <c r="N102" s="53"/>
      <c r="O102" s="54"/>
      <c r="P102" s="72"/>
      <c r="Q102" s="63"/>
      <c r="R102" s="63"/>
      <c r="S102" s="62"/>
    </row>
    <row r="103" spans="2:19" ht="12" hidden="1" customHeight="1">
      <c r="B103" s="46" t="s">
        <v>394</v>
      </c>
      <c r="C103" s="47" t="s">
        <v>395</v>
      </c>
      <c r="D103" s="47" t="s">
        <v>169</v>
      </c>
      <c r="E103" s="48" t="s">
        <v>185</v>
      </c>
      <c r="F103" s="48" t="s">
        <v>183</v>
      </c>
      <c r="G103" s="48">
        <v>14</v>
      </c>
      <c r="H103" s="48">
        <v>14</v>
      </c>
      <c r="I103" s="49">
        <v>893306.67</v>
      </c>
      <c r="J103" s="49">
        <f t="shared" si="4"/>
        <v>63807.619285714289</v>
      </c>
      <c r="K103" s="65">
        <v>1</v>
      </c>
      <c r="L103" s="53"/>
      <c r="M103" s="53"/>
      <c r="N103" s="53"/>
      <c r="O103" s="54"/>
      <c r="P103" s="72"/>
      <c r="Q103" s="63"/>
      <c r="R103" s="63"/>
      <c r="S103" s="62"/>
    </row>
    <row r="104" spans="2:19" ht="12" hidden="1" customHeight="1">
      <c r="B104" s="46" t="s">
        <v>396</v>
      </c>
      <c r="C104" s="47" t="s">
        <v>397</v>
      </c>
      <c r="D104" s="47" t="s">
        <v>175</v>
      </c>
      <c r="E104" s="48" t="s">
        <v>185</v>
      </c>
      <c r="F104" s="48" t="s">
        <v>184</v>
      </c>
      <c r="G104" s="48">
        <v>75</v>
      </c>
      <c r="H104" s="48">
        <v>75</v>
      </c>
      <c r="I104" s="49">
        <v>11989943.029999999</v>
      </c>
      <c r="J104" s="49">
        <f t="shared" si="4"/>
        <v>159865.90706666667</v>
      </c>
      <c r="K104" s="65">
        <v>1</v>
      </c>
      <c r="L104" s="53"/>
      <c r="M104" s="53"/>
      <c r="N104" s="53"/>
      <c r="O104" s="54"/>
      <c r="P104" s="72"/>
      <c r="Q104" s="63"/>
      <c r="R104" s="63"/>
      <c r="S104" s="62"/>
    </row>
    <row r="105" spans="2:19" ht="12" hidden="1" customHeight="1">
      <c r="B105" s="46" t="s">
        <v>398</v>
      </c>
      <c r="C105" s="47" t="s">
        <v>399</v>
      </c>
      <c r="D105" s="47" t="s">
        <v>135</v>
      </c>
      <c r="E105" s="48" t="s">
        <v>185</v>
      </c>
      <c r="F105" s="48" t="s">
        <v>184</v>
      </c>
      <c r="G105" s="48">
        <v>48</v>
      </c>
      <c r="H105" s="48">
        <v>54</v>
      </c>
      <c r="I105" s="49">
        <v>5467277.25</v>
      </c>
      <c r="J105" s="49">
        <f t="shared" si="4"/>
        <v>113901.609375</v>
      </c>
      <c r="K105" s="65">
        <v>1</v>
      </c>
      <c r="L105" s="53"/>
      <c r="M105" s="53"/>
      <c r="N105" s="53"/>
      <c r="O105" s="54"/>
      <c r="P105" s="72"/>
      <c r="Q105" s="63"/>
      <c r="R105" s="63"/>
      <c r="S105" s="62"/>
    </row>
    <row r="106" spans="2:19" ht="12" hidden="1" customHeight="1">
      <c r="B106" s="46" t="s">
        <v>400</v>
      </c>
      <c r="C106" s="47" t="s">
        <v>401</v>
      </c>
      <c r="D106" s="47" t="s">
        <v>37</v>
      </c>
      <c r="E106" s="48" t="s">
        <v>183</v>
      </c>
      <c r="F106" s="48" t="s">
        <v>183</v>
      </c>
      <c r="G106" s="48">
        <v>10</v>
      </c>
      <c r="H106" s="48">
        <v>10</v>
      </c>
      <c r="I106" s="49">
        <v>370088.62</v>
      </c>
      <c r="J106" s="49">
        <f t="shared" si="4"/>
        <v>37008.862000000001</v>
      </c>
      <c r="K106" s="65">
        <v>1</v>
      </c>
      <c r="L106" s="53"/>
      <c r="M106" s="53"/>
      <c r="N106" s="53"/>
      <c r="O106" s="54"/>
      <c r="P106" s="72"/>
      <c r="Q106" s="63"/>
      <c r="R106" s="63"/>
      <c r="S106" s="62"/>
    </row>
    <row r="107" spans="2:19" ht="12" hidden="1" customHeight="1">
      <c r="B107" s="46" t="s">
        <v>402</v>
      </c>
      <c r="C107" s="47" t="s">
        <v>403</v>
      </c>
      <c r="D107" s="47" t="s">
        <v>153</v>
      </c>
      <c r="E107" s="48" t="s">
        <v>185</v>
      </c>
      <c r="F107" s="48" t="s">
        <v>183</v>
      </c>
      <c r="G107" s="48">
        <v>40</v>
      </c>
      <c r="H107" s="48">
        <v>40</v>
      </c>
      <c r="I107" s="49">
        <v>3915120.07</v>
      </c>
      <c r="J107" s="49">
        <f t="shared" si="4"/>
        <v>97878.001749999996</v>
      </c>
      <c r="K107" s="65">
        <v>1</v>
      </c>
      <c r="L107" s="53"/>
      <c r="M107" s="53"/>
      <c r="N107" s="53"/>
      <c r="O107" s="54"/>
      <c r="P107" s="72"/>
      <c r="Q107" s="63"/>
      <c r="R107" s="63"/>
      <c r="S107" s="62"/>
    </row>
    <row r="108" spans="2:19" ht="12" hidden="1" customHeight="1">
      <c r="B108" s="46" t="s">
        <v>404</v>
      </c>
      <c r="C108" s="47" t="s">
        <v>405</v>
      </c>
      <c r="D108" s="47" t="s">
        <v>154</v>
      </c>
      <c r="E108" s="48" t="s">
        <v>185</v>
      </c>
      <c r="F108" s="48" t="s">
        <v>184</v>
      </c>
      <c r="G108" s="48">
        <v>20</v>
      </c>
      <c r="H108" s="48">
        <v>20</v>
      </c>
      <c r="I108" s="49">
        <v>758360.96</v>
      </c>
      <c r="J108" s="49">
        <f t="shared" si="4"/>
        <v>37918.047999999995</v>
      </c>
      <c r="K108" s="65">
        <v>1</v>
      </c>
      <c r="L108" s="53"/>
      <c r="M108" s="53"/>
      <c r="N108" s="53"/>
      <c r="O108" s="54"/>
      <c r="P108" s="72"/>
      <c r="Q108" s="63"/>
      <c r="R108" s="63"/>
      <c r="S108" s="62"/>
    </row>
    <row r="109" spans="2:19" ht="12" hidden="1" customHeight="1">
      <c r="B109" s="46" t="s">
        <v>406</v>
      </c>
      <c r="C109" s="47" t="s">
        <v>407</v>
      </c>
      <c r="D109" s="47" t="s">
        <v>144</v>
      </c>
      <c r="E109" s="48" t="s">
        <v>185</v>
      </c>
      <c r="F109" s="48" t="s">
        <v>184</v>
      </c>
      <c r="G109" s="48">
        <v>21</v>
      </c>
      <c r="H109" s="48">
        <v>21</v>
      </c>
      <c r="I109" s="49">
        <v>3200697.27</v>
      </c>
      <c r="J109" s="49">
        <f t="shared" si="4"/>
        <v>152414.15571428571</v>
      </c>
      <c r="K109" s="65">
        <v>1</v>
      </c>
    </row>
    <row r="110" spans="2:19" ht="12" hidden="1" customHeight="1">
      <c r="B110" s="46" t="s">
        <v>408</v>
      </c>
      <c r="C110" s="47" t="s">
        <v>409</v>
      </c>
      <c r="D110" s="47" t="s">
        <v>166</v>
      </c>
      <c r="E110" s="48" t="s">
        <v>185</v>
      </c>
      <c r="F110" s="48" t="s">
        <v>184</v>
      </c>
      <c r="G110" s="48">
        <v>48</v>
      </c>
      <c r="H110" s="48">
        <v>48</v>
      </c>
      <c r="I110" s="49">
        <v>7244318.71</v>
      </c>
      <c r="J110" s="49">
        <f t="shared" si="4"/>
        <v>150923.30645833333</v>
      </c>
      <c r="K110" s="65">
        <v>1</v>
      </c>
    </row>
    <row r="111" spans="2:19" ht="12" hidden="1" customHeight="1">
      <c r="B111" s="46" t="s">
        <v>410</v>
      </c>
      <c r="C111" s="47" t="s">
        <v>411</v>
      </c>
      <c r="D111" s="47" t="s">
        <v>105</v>
      </c>
      <c r="E111" s="48" t="s">
        <v>185</v>
      </c>
      <c r="F111" s="48" t="s">
        <v>183</v>
      </c>
      <c r="G111" s="48">
        <v>45</v>
      </c>
      <c r="H111" s="48">
        <v>45</v>
      </c>
      <c r="I111" s="49">
        <v>4308135.01</v>
      </c>
      <c r="J111" s="49">
        <f t="shared" si="4"/>
        <v>95736.333555555553</v>
      </c>
      <c r="K111" s="65">
        <v>1</v>
      </c>
    </row>
    <row r="112" spans="2:19" ht="12" hidden="1" customHeight="1">
      <c r="B112" s="46" t="s">
        <v>412</v>
      </c>
      <c r="C112" s="47" t="s">
        <v>413</v>
      </c>
      <c r="D112" s="47" t="s">
        <v>135</v>
      </c>
      <c r="E112" s="48" t="s">
        <v>183</v>
      </c>
      <c r="F112" s="48" t="s">
        <v>184</v>
      </c>
      <c r="G112" s="48">
        <v>70</v>
      </c>
      <c r="H112" s="48">
        <v>70</v>
      </c>
      <c r="I112" s="49">
        <v>9432277.8900000006</v>
      </c>
      <c r="J112" s="49">
        <f t="shared" si="4"/>
        <v>134746.82700000002</v>
      </c>
      <c r="K112" s="65">
        <v>1</v>
      </c>
    </row>
    <row r="113" spans="2:11" ht="12" hidden="1" customHeight="1">
      <c r="B113" s="46" t="s">
        <v>414</v>
      </c>
      <c r="C113" s="47" t="s">
        <v>415</v>
      </c>
      <c r="D113" s="47" t="s">
        <v>120</v>
      </c>
      <c r="E113" s="48" t="s">
        <v>185</v>
      </c>
      <c r="F113" s="48" t="s">
        <v>184</v>
      </c>
      <c r="G113" s="48">
        <v>80</v>
      </c>
      <c r="H113" s="48">
        <v>100</v>
      </c>
      <c r="I113" s="49">
        <v>10509113.07</v>
      </c>
      <c r="J113" s="49">
        <f t="shared" si="4"/>
        <v>131363.913375</v>
      </c>
      <c r="K113" s="65">
        <v>1</v>
      </c>
    </row>
    <row r="114" spans="2:11" ht="12" hidden="1" customHeight="1">
      <c r="B114" s="46" t="s">
        <v>416</v>
      </c>
      <c r="C114" s="47" t="s">
        <v>417</v>
      </c>
      <c r="D114" s="47" t="s">
        <v>116</v>
      </c>
      <c r="E114" s="48" t="s">
        <v>183</v>
      </c>
      <c r="F114" s="48" t="s">
        <v>184</v>
      </c>
      <c r="G114" s="48">
        <v>50</v>
      </c>
      <c r="H114" s="48">
        <v>50</v>
      </c>
      <c r="I114" s="49">
        <v>2375590.14</v>
      </c>
      <c r="J114" s="49">
        <f t="shared" si="4"/>
        <v>47511.802800000005</v>
      </c>
      <c r="K114" s="65">
        <v>1</v>
      </c>
    </row>
    <row r="115" spans="2:11" ht="12" hidden="1" customHeight="1">
      <c r="B115" s="46" t="s">
        <v>418</v>
      </c>
      <c r="C115" s="47" t="s">
        <v>419</v>
      </c>
      <c r="D115" s="47" t="s">
        <v>152</v>
      </c>
      <c r="E115" s="48" t="s">
        <v>185</v>
      </c>
      <c r="F115" s="48" t="s">
        <v>184</v>
      </c>
      <c r="G115" s="48">
        <v>40</v>
      </c>
      <c r="H115" s="48">
        <v>40</v>
      </c>
      <c r="I115" s="49">
        <v>3827653.5</v>
      </c>
      <c r="J115" s="49">
        <f t="shared" si="4"/>
        <v>95691.337499999994</v>
      </c>
      <c r="K115" s="65">
        <v>1</v>
      </c>
    </row>
    <row r="116" spans="2:11" ht="12" hidden="1" customHeight="1">
      <c r="B116" s="46" t="s">
        <v>420</v>
      </c>
      <c r="C116" s="47" t="s">
        <v>421</v>
      </c>
      <c r="D116" s="47" t="s">
        <v>177</v>
      </c>
      <c r="E116" s="48" t="s">
        <v>185</v>
      </c>
      <c r="F116" s="48" t="s">
        <v>184</v>
      </c>
      <c r="G116" s="48">
        <v>68</v>
      </c>
      <c r="H116" s="48">
        <v>68</v>
      </c>
      <c r="I116" s="49">
        <v>8332577.4900000002</v>
      </c>
      <c r="J116" s="49">
        <f t="shared" si="4"/>
        <v>122537.90426470588</v>
      </c>
      <c r="K116" s="65">
        <v>1</v>
      </c>
    </row>
    <row r="117" spans="2:11" ht="12" hidden="1" customHeight="1">
      <c r="B117" s="46" t="s">
        <v>422</v>
      </c>
      <c r="C117" s="47" t="s">
        <v>423</v>
      </c>
      <c r="D117" s="47" t="s">
        <v>120</v>
      </c>
      <c r="E117" s="48" t="s">
        <v>185</v>
      </c>
      <c r="F117" s="48" t="s">
        <v>184</v>
      </c>
      <c r="G117" s="48">
        <v>55</v>
      </c>
      <c r="H117" s="48">
        <v>100</v>
      </c>
      <c r="I117" s="49">
        <v>5647544.4500000002</v>
      </c>
      <c r="J117" s="49">
        <f t="shared" si="4"/>
        <v>102682.62636363637</v>
      </c>
      <c r="K117" s="65">
        <v>1</v>
      </c>
    </row>
    <row r="118" spans="2:11" ht="12" hidden="1" customHeight="1">
      <c r="B118" s="46" t="s">
        <v>424</v>
      </c>
      <c r="C118" s="47" t="s">
        <v>425</v>
      </c>
      <c r="D118" s="47" t="s">
        <v>145</v>
      </c>
      <c r="E118" s="48" t="s">
        <v>185</v>
      </c>
      <c r="F118" s="48" t="s">
        <v>184</v>
      </c>
      <c r="G118" s="48">
        <v>91</v>
      </c>
      <c r="H118" s="48">
        <v>95</v>
      </c>
      <c r="I118" s="49">
        <v>9774321.9199999999</v>
      </c>
      <c r="J118" s="49">
        <f t="shared" si="4"/>
        <v>107410.13098901098</v>
      </c>
      <c r="K118" s="65">
        <v>1</v>
      </c>
    </row>
    <row r="119" spans="2:11" ht="12" hidden="1" customHeight="1">
      <c r="B119" s="46" t="s">
        <v>426</v>
      </c>
      <c r="C119" s="47" t="s">
        <v>427</v>
      </c>
      <c r="D119" s="47" t="s">
        <v>32</v>
      </c>
      <c r="E119" s="48" t="s">
        <v>185</v>
      </c>
      <c r="F119" s="48" t="s">
        <v>183</v>
      </c>
      <c r="G119" s="48">
        <v>30</v>
      </c>
      <c r="H119" s="48">
        <v>30</v>
      </c>
      <c r="I119" s="49">
        <v>3218786.43</v>
      </c>
      <c r="J119" s="49">
        <f t="shared" si="4"/>
        <v>107292.88100000001</v>
      </c>
      <c r="K119" s="65">
        <v>1</v>
      </c>
    </row>
    <row r="120" spans="2:11" ht="12" customHeight="1">
      <c r="B120" s="46" t="s">
        <v>428</v>
      </c>
      <c r="C120" s="47" t="s">
        <v>429</v>
      </c>
      <c r="D120" s="47" t="s">
        <v>128</v>
      </c>
      <c r="E120" s="48" t="s">
        <v>183</v>
      </c>
      <c r="F120" s="48" t="s">
        <v>184</v>
      </c>
      <c r="G120" s="48">
        <v>94</v>
      </c>
      <c r="H120" s="48">
        <v>94</v>
      </c>
      <c r="I120" s="49">
        <v>9572282.5199999996</v>
      </c>
      <c r="J120" s="49">
        <f t="shared" si="4"/>
        <v>101832.79276595745</v>
      </c>
      <c r="K120" s="65">
        <v>1</v>
      </c>
    </row>
    <row r="121" spans="2:11" ht="12" customHeight="1">
      <c r="B121" s="46" t="s">
        <v>430</v>
      </c>
      <c r="C121" s="47" t="s">
        <v>431</v>
      </c>
      <c r="D121" s="47" t="s">
        <v>128</v>
      </c>
      <c r="E121" s="48" t="s">
        <v>183</v>
      </c>
      <c r="F121" s="48" t="s">
        <v>184</v>
      </c>
      <c r="G121" s="48">
        <v>63</v>
      </c>
      <c r="H121" s="48">
        <v>63</v>
      </c>
      <c r="I121" s="49">
        <v>6189911.75</v>
      </c>
      <c r="J121" s="49">
        <f t="shared" si="4"/>
        <v>98252.567460317456</v>
      </c>
      <c r="K121" s="65">
        <v>1</v>
      </c>
    </row>
    <row r="122" spans="2:11" ht="12" customHeight="1">
      <c r="B122" s="46" t="s">
        <v>432</v>
      </c>
      <c r="C122" s="47" t="s">
        <v>433</v>
      </c>
      <c r="D122" s="47" t="s">
        <v>128</v>
      </c>
      <c r="E122" s="48" t="s">
        <v>183</v>
      </c>
      <c r="F122" s="48" t="s">
        <v>184</v>
      </c>
      <c r="G122" s="48">
        <v>77</v>
      </c>
      <c r="H122" s="48">
        <v>77</v>
      </c>
      <c r="I122" s="49">
        <v>3114608.34</v>
      </c>
      <c r="J122" s="49">
        <f t="shared" si="4"/>
        <v>40449.458961038959</v>
      </c>
      <c r="K122" s="65">
        <v>1</v>
      </c>
    </row>
    <row r="123" spans="2:11" ht="12" hidden="1" customHeight="1">
      <c r="B123" s="46" t="s">
        <v>434</v>
      </c>
      <c r="C123" s="47" t="s">
        <v>435</v>
      </c>
      <c r="D123" s="47" t="s">
        <v>120</v>
      </c>
      <c r="E123" s="48" t="s">
        <v>183</v>
      </c>
      <c r="F123" s="48" t="s">
        <v>184</v>
      </c>
      <c r="G123" s="48">
        <v>65</v>
      </c>
      <c r="H123" s="48">
        <v>65</v>
      </c>
      <c r="I123" s="49">
        <v>3170429.97</v>
      </c>
      <c r="J123" s="49">
        <f t="shared" si="4"/>
        <v>48775.845692307696</v>
      </c>
      <c r="K123" s="65">
        <v>1</v>
      </c>
    </row>
    <row r="124" spans="2:11" ht="12" hidden="1" customHeight="1">
      <c r="B124" s="46" t="s">
        <v>436</v>
      </c>
      <c r="C124" s="47" t="s">
        <v>437</v>
      </c>
      <c r="D124" s="47" t="s">
        <v>155</v>
      </c>
      <c r="E124" s="48" t="s">
        <v>185</v>
      </c>
      <c r="F124" s="48" t="s">
        <v>184</v>
      </c>
      <c r="G124" s="48">
        <v>32</v>
      </c>
      <c r="H124" s="48">
        <v>32</v>
      </c>
      <c r="I124" s="49">
        <v>2733099.26</v>
      </c>
      <c r="J124" s="49">
        <f t="shared" si="4"/>
        <v>85409.351874999993</v>
      </c>
      <c r="K124" s="65">
        <v>1</v>
      </c>
    </row>
    <row r="125" spans="2:11" ht="12" hidden="1" customHeight="1">
      <c r="B125" s="46" t="s">
        <v>438</v>
      </c>
      <c r="C125" s="47" t="s">
        <v>439</v>
      </c>
      <c r="D125" s="47" t="s">
        <v>29</v>
      </c>
      <c r="E125" s="48" t="s">
        <v>183</v>
      </c>
      <c r="F125" s="48" t="s">
        <v>183</v>
      </c>
      <c r="G125" s="48">
        <v>32</v>
      </c>
      <c r="H125" s="48">
        <v>32</v>
      </c>
      <c r="I125" s="49">
        <v>1398372.63</v>
      </c>
      <c r="J125" s="49">
        <f t="shared" si="4"/>
        <v>43699.144687499997</v>
      </c>
      <c r="K125" s="65">
        <v>1</v>
      </c>
    </row>
    <row r="126" spans="2:11" ht="12" hidden="1" customHeight="1">
      <c r="B126" s="46" t="s">
        <v>440</v>
      </c>
      <c r="C126" s="47" t="s">
        <v>441</v>
      </c>
      <c r="D126" s="47" t="s">
        <v>112</v>
      </c>
      <c r="E126" s="48" t="s">
        <v>183</v>
      </c>
      <c r="F126" s="48" t="s">
        <v>184</v>
      </c>
      <c r="G126" s="48">
        <v>68</v>
      </c>
      <c r="H126" s="48">
        <v>68</v>
      </c>
      <c r="I126" s="49">
        <v>9395744.5800000001</v>
      </c>
      <c r="J126" s="49">
        <f t="shared" si="4"/>
        <v>138172.7144117647</v>
      </c>
      <c r="K126" s="65">
        <v>1</v>
      </c>
    </row>
    <row r="127" spans="2:11" ht="12" hidden="1" customHeight="1">
      <c r="B127" s="46" t="s">
        <v>442</v>
      </c>
      <c r="C127" s="47" t="s">
        <v>443</v>
      </c>
      <c r="D127" s="47" t="s">
        <v>112</v>
      </c>
      <c r="E127" s="48" t="s">
        <v>185</v>
      </c>
      <c r="F127" s="48" t="s">
        <v>184</v>
      </c>
      <c r="G127" s="48">
        <v>80</v>
      </c>
      <c r="H127" s="48">
        <v>100</v>
      </c>
      <c r="I127" s="49">
        <v>16093668.640000001</v>
      </c>
      <c r="J127" s="49">
        <f t="shared" si="4"/>
        <v>201170.85800000001</v>
      </c>
      <c r="K127" s="65">
        <v>1</v>
      </c>
    </row>
    <row r="128" spans="2:11" ht="12" hidden="1" customHeight="1">
      <c r="B128" s="46" t="s">
        <v>444</v>
      </c>
      <c r="C128" s="47" t="s">
        <v>445</v>
      </c>
      <c r="D128" s="47" t="s">
        <v>112</v>
      </c>
      <c r="E128" s="48" t="s">
        <v>185</v>
      </c>
      <c r="F128" s="48" t="s">
        <v>184</v>
      </c>
      <c r="G128" s="48">
        <v>55</v>
      </c>
      <c r="H128" s="48">
        <v>55</v>
      </c>
      <c r="I128" s="49">
        <v>7649596.1399999997</v>
      </c>
      <c r="J128" s="49">
        <f t="shared" si="4"/>
        <v>139083.56618181817</v>
      </c>
      <c r="K128" s="65">
        <v>1</v>
      </c>
    </row>
    <row r="129" spans="2:11" ht="12" hidden="1" customHeight="1">
      <c r="B129" s="46" t="s">
        <v>446</v>
      </c>
      <c r="C129" s="47" t="s">
        <v>447</v>
      </c>
      <c r="D129" s="47" t="s">
        <v>159</v>
      </c>
      <c r="E129" s="48" t="s">
        <v>185</v>
      </c>
      <c r="F129" s="48" t="s">
        <v>184</v>
      </c>
      <c r="G129" s="48">
        <v>40</v>
      </c>
      <c r="H129" s="48">
        <v>40</v>
      </c>
      <c r="I129" s="49">
        <v>3551213.26</v>
      </c>
      <c r="J129" s="49">
        <f t="shared" si="4"/>
        <v>88780.3315</v>
      </c>
      <c r="K129" s="65">
        <v>1</v>
      </c>
    </row>
    <row r="130" spans="2:11" ht="12" hidden="1" customHeight="1">
      <c r="B130" s="46" t="s">
        <v>448</v>
      </c>
      <c r="C130" s="47" t="s">
        <v>449</v>
      </c>
      <c r="D130" s="47" t="s">
        <v>161</v>
      </c>
      <c r="E130" s="48" t="s">
        <v>185</v>
      </c>
      <c r="F130" s="48" t="s">
        <v>184</v>
      </c>
      <c r="G130" s="48">
        <v>40</v>
      </c>
      <c r="H130" s="48">
        <v>40</v>
      </c>
      <c r="I130" s="49">
        <v>2072760.23</v>
      </c>
      <c r="J130" s="49">
        <f t="shared" si="4"/>
        <v>51819.005749999997</v>
      </c>
      <c r="K130" s="65">
        <v>1</v>
      </c>
    </row>
    <row r="131" spans="2:11" ht="12" hidden="1" customHeight="1">
      <c r="B131" s="46" t="s">
        <v>450</v>
      </c>
      <c r="C131" s="47" t="s">
        <v>451</v>
      </c>
      <c r="D131" s="47" t="s">
        <v>137</v>
      </c>
      <c r="E131" s="48" t="s">
        <v>185</v>
      </c>
      <c r="F131" s="48" t="s">
        <v>184</v>
      </c>
      <c r="G131" s="48">
        <v>90</v>
      </c>
      <c r="H131" s="48">
        <v>90</v>
      </c>
      <c r="I131" s="49">
        <v>14660687.029999999</v>
      </c>
      <c r="J131" s="49">
        <f t="shared" si="4"/>
        <v>162896.52255555554</v>
      </c>
      <c r="K131" s="65">
        <v>1</v>
      </c>
    </row>
    <row r="132" spans="2:11" ht="12" hidden="1" customHeight="1">
      <c r="B132" s="46" t="s">
        <v>452</v>
      </c>
      <c r="C132" s="47" t="s">
        <v>453</v>
      </c>
      <c r="D132" s="47" t="s">
        <v>142</v>
      </c>
      <c r="E132" s="48" t="s">
        <v>185</v>
      </c>
      <c r="F132" s="48" t="s">
        <v>184</v>
      </c>
      <c r="G132" s="48">
        <v>80</v>
      </c>
      <c r="H132" s="48">
        <v>100</v>
      </c>
      <c r="I132" s="49">
        <v>14022456.99</v>
      </c>
      <c r="J132" s="49">
        <f t="shared" si="4"/>
        <v>175280.712375</v>
      </c>
      <c r="K132" s="65">
        <v>1</v>
      </c>
    </row>
    <row r="133" spans="2:11" ht="12" hidden="1" customHeight="1">
      <c r="B133" s="46" t="s">
        <v>454</v>
      </c>
      <c r="C133" s="47" t="s">
        <v>455</v>
      </c>
      <c r="D133" s="47" t="s">
        <v>145</v>
      </c>
      <c r="E133" s="48" t="s">
        <v>185</v>
      </c>
      <c r="F133" s="48" t="s">
        <v>184</v>
      </c>
      <c r="G133" s="48">
        <v>97</v>
      </c>
      <c r="H133" s="48">
        <v>97</v>
      </c>
      <c r="I133" s="49">
        <v>16042699.140000001</v>
      </c>
      <c r="J133" s="49">
        <f t="shared" ref="J133:J196" si="8">IF(I133&gt;0,I133/G133,"")</f>
        <v>165388.65092783506</v>
      </c>
      <c r="K133" s="65">
        <v>1</v>
      </c>
    </row>
    <row r="134" spans="2:11" ht="12" hidden="1" customHeight="1">
      <c r="B134" s="46" t="s">
        <v>456</v>
      </c>
      <c r="C134" s="47" t="s">
        <v>457</v>
      </c>
      <c r="D134" s="47" t="s">
        <v>155</v>
      </c>
      <c r="E134" s="48" t="s">
        <v>185</v>
      </c>
      <c r="F134" s="48" t="s">
        <v>184</v>
      </c>
      <c r="G134" s="48">
        <v>41</v>
      </c>
      <c r="H134" s="48">
        <v>41</v>
      </c>
      <c r="I134" s="49">
        <v>5130721.59</v>
      </c>
      <c r="J134" s="49">
        <f t="shared" si="8"/>
        <v>125139.55097560975</v>
      </c>
      <c r="K134" s="65">
        <v>1</v>
      </c>
    </row>
    <row r="135" spans="2:11" ht="12" hidden="1" customHeight="1">
      <c r="B135" s="46" t="s">
        <v>458</v>
      </c>
      <c r="C135" s="47" t="s">
        <v>459</v>
      </c>
      <c r="D135" s="47" t="s">
        <v>154</v>
      </c>
      <c r="E135" s="48" t="s">
        <v>185</v>
      </c>
      <c r="F135" s="48" t="s">
        <v>184</v>
      </c>
      <c r="G135" s="48">
        <v>75</v>
      </c>
      <c r="H135" s="48">
        <v>85</v>
      </c>
      <c r="I135" s="49">
        <v>9658699.7799999993</v>
      </c>
      <c r="J135" s="49">
        <f t="shared" si="8"/>
        <v>128782.66373333332</v>
      </c>
      <c r="K135" s="65">
        <v>1</v>
      </c>
    </row>
    <row r="136" spans="2:11" ht="12" hidden="1" customHeight="1">
      <c r="B136" s="46" t="s">
        <v>460</v>
      </c>
      <c r="C136" s="47" t="s">
        <v>461</v>
      </c>
      <c r="D136" s="47" t="s">
        <v>154</v>
      </c>
      <c r="E136" s="48" t="s">
        <v>185</v>
      </c>
      <c r="F136" s="48" t="s">
        <v>184</v>
      </c>
      <c r="G136" s="48">
        <v>50</v>
      </c>
      <c r="H136" s="48">
        <v>50</v>
      </c>
      <c r="I136" s="49">
        <v>6381526.3600000003</v>
      </c>
      <c r="J136" s="49">
        <f t="shared" si="8"/>
        <v>127630.52720000001</v>
      </c>
      <c r="K136" s="65">
        <v>1</v>
      </c>
    </row>
    <row r="137" spans="2:11" ht="12" hidden="1" customHeight="1">
      <c r="B137" s="46" t="s">
        <v>462</v>
      </c>
      <c r="C137" s="47" t="s">
        <v>463</v>
      </c>
      <c r="D137" s="47" t="s">
        <v>166</v>
      </c>
      <c r="E137" s="48" t="s">
        <v>183</v>
      </c>
      <c r="F137" s="48" t="s">
        <v>184</v>
      </c>
      <c r="G137" s="48">
        <v>33</v>
      </c>
      <c r="H137" s="48">
        <v>33</v>
      </c>
      <c r="I137" s="49">
        <v>779527.63</v>
      </c>
      <c r="J137" s="49">
        <f t="shared" si="8"/>
        <v>23622.049393939393</v>
      </c>
      <c r="K137" s="65">
        <v>1</v>
      </c>
    </row>
    <row r="138" spans="2:11" ht="12" hidden="1" customHeight="1">
      <c r="B138" s="46" t="s">
        <v>464</v>
      </c>
      <c r="C138" s="47" t="s">
        <v>465</v>
      </c>
      <c r="D138" s="47" t="s">
        <v>145</v>
      </c>
      <c r="E138" s="48" t="s">
        <v>183</v>
      </c>
      <c r="F138" s="48" t="s">
        <v>184</v>
      </c>
      <c r="G138" s="48">
        <v>19</v>
      </c>
      <c r="H138" s="48">
        <v>19</v>
      </c>
      <c r="I138" s="49">
        <v>280856.37</v>
      </c>
      <c r="J138" s="49">
        <f t="shared" si="8"/>
        <v>14781.914210526316</v>
      </c>
      <c r="K138" s="65">
        <v>1</v>
      </c>
    </row>
    <row r="139" spans="2:11" ht="12" hidden="1" customHeight="1">
      <c r="B139" s="46" t="s">
        <v>466</v>
      </c>
      <c r="C139" s="47" t="s">
        <v>467</v>
      </c>
      <c r="D139" s="47" t="s">
        <v>114</v>
      </c>
      <c r="E139" s="48" t="s">
        <v>185</v>
      </c>
      <c r="F139" s="48" t="s">
        <v>183</v>
      </c>
      <c r="G139" s="48">
        <v>30</v>
      </c>
      <c r="H139" s="48">
        <v>30</v>
      </c>
      <c r="I139" s="49">
        <v>812734.61</v>
      </c>
      <c r="J139" s="49">
        <f t="shared" si="8"/>
        <v>27091.153666666665</v>
      </c>
      <c r="K139" s="65">
        <v>1</v>
      </c>
    </row>
    <row r="140" spans="2:11" ht="12" hidden="1" customHeight="1">
      <c r="B140" s="46" t="s">
        <v>468</v>
      </c>
      <c r="C140" s="47" t="s">
        <v>469</v>
      </c>
      <c r="D140" s="47" t="s">
        <v>114</v>
      </c>
      <c r="E140" s="48" t="s">
        <v>183</v>
      </c>
      <c r="F140" s="48" t="s">
        <v>183</v>
      </c>
      <c r="G140" s="48">
        <v>84</v>
      </c>
      <c r="H140" s="48">
        <v>84</v>
      </c>
      <c r="I140" s="49">
        <v>3246704.26</v>
      </c>
      <c r="J140" s="49">
        <f t="shared" si="8"/>
        <v>38651.24119047619</v>
      </c>
      <c r="K140" s="65">
        <v>1</v>
      </c>
    </row>
    <row r="141" spans="2:11" ht="12" hidden="1" customHeight="1">
      <c r="B141" s="46" t="s">
        <v>470</v>
      </c>
      <c r="C141" s="47" t="s">
        <v>471</v>
      </c>
      <c r="D141" s="47" t="s">
        <v>137</v>
      </c>
      <c r="E141" s="48" t="s">
        <v>183</v>
      </c>
      <c r="F141" s="48" t="s">
        <v>184</v>
      </c>
      <c r="G141" s="48">
        <v>80</v>
      </c>
      <c r="H141" s="48">
        <v>80</v>
      </c>
      <c r="I141" s="49">
        <v>3633649.7</v>
      </c>
      <c r="J141" s="49">
        <f t="shared" si="8"/>
        <v>45420.621250000004</v>
      </c>
      <c r="K141" s="65">
        <v>1</v>
      </c>
    </row>
    <row r="142" spans="2:11" ht="12" hidden="1" customHeight="1">
      <c r="B142" s="46" t="s">
        <v>472</v>
      </c>
      <c r="C142" s="47" t="s">
        <v>473</v>
      </c>
      <c r="D142" s="47" t="s">
        <v>120</v>
      </c>
      <c r="E142" s="48" t="s">
        <v>185</v>
      </c>
      <c r="F142" s="48" t="s">
        <v>184</v>
      </c>
      <c r="G142" s="48">
        <v>100</v>
      </c>
      <c r="H142" s="48">
        <v>100</v>
      </c>
      <c r="I142" s="49">
        <v>12925109.26</v>
      </c>
      <c r="J142" s="49">
        <f t="shared" si="8"/>
        <v>129251.0926</v>
      </c>
      <c r="K142" s="65">
        <v>1</v>
      </c>
    </row>
    <row r="143" spans="2:11" ht="12" hidden="1" customHeight="1">
      <c r="B143" s="46" t="s">
        <v>474</v>
      </c>
      <c r="C143" s="47" t="s">
        <v>475</v>
      </c>
      <c r="D143" s="47" t="s">
        <v>181</v>
      </c>
      <c r="E143" s="48" t="s">
        <v>185</v>
      </c>
      <c r="F143" s="48" t="s">
        <v>183</v>
      </c>
      <c r="G143" s="48">
        <v>80</v>
      </c>
      <c r="H143" s="48">
        <v>80</v>
      </c>
      <c r="I143" s="49">
        <v>4425281.57</v>
      </c>
      <c r="J143" s="49">
        <f t="shared" si="8"/>
        <v>55316.019625000001</v>
      </c>
      <c r="K143" s="65">
        <v>1</v>
      </c>
    </row>
    <row r="144" spans="2:11" ht="12" hidden="1" customHeight="1">
      <c r="B144" s="46" t="s">
        <v>476</v>
      </c>
      <c r="C144" s="47" t="s">
        <v>477</v>
      </c>
      <c r="D144" s="47" t="s">
        <v>161</v>
      </c>
      <c r="E144" s="48" t="s">
        <v>185</v>
      </c>
      <c r="F144" s="48" t="s">
        <v>184</v>
      </c>
      <c r="G144" s="48">
        <v>28</v>
      </c>
      <c r="H144" s="48">
        <v>34</v>
      </c>
      <c r="I144" s="49">
        <v>1729930.4</v>
      </c>
      <c r="J144" s="49">
        <f t="shared" si="8"/>
        <v>61783.228571428568</v>
      </c>
      <c r="K144" s="65">
        <v>1</v>
      </c>
    </row>
    <row r="145" spans="2:11" ht="12" hidden="1" customHeight="1">
      <c r="B145" s="46" t="s">
        <v>478</v>
      </c>
      <c r="C145" s="47" t="s">
        <v>479</v>
      </c>
      <c r="D145" s="47" t="s">
        <v>159</v>
      </c>
      <c r="E145" s="48" t="s">
        <v>185</v>
      </c>
      <c r="F145" s="48" t="s">
        <v>184</v>
      </c>
      <c r="G145" s="48">
        <v>40</v>
      </c>
      <c r="H145" s="48">
        <v>57</v>
      </c>
      <c r="I145" s="49">
        <v>3730317.21</v>
      </c>
      <c r="J145" s="49">
        <f t="shared" si="8"/>
        <v>93257.930250000005</v>
      </c>
      <c r="K145" s="65">
        <v>1</v>
      </c>
    </row>
    <row r="146" spans="2:11" ht="12" hidden="1" customHeight="1">
      <c r="B146" s="46" t="s">
        <v>480</v>
      </c>
      <c r="C146" s="47" t="s">
        <v>481</v>
      </c>
      <c r="D146" s="47" t="s">
        <v>159</v>
      </c>
      <c r="E146" s="48" t="s">
        <v>183</v>
      </c>
      <c r="F146" s="48" t="s">
        <v>184</v>
      </c>
      <c r="G146" s="48">
        <v>0</v>
      </c>
      <c r="H146" s="48">
        <v>0</v>
      </c>
      <c r="I146" s="49">
        <v>0</v>
      </c>
      <c r="J146" s="49" t="str">
        <f t="shared" si="8"/>
        <v/>
      </c>
      <c r="K146" s="65">
        <v>1</v>
      </c>
    </row>
    <row r="147" spans="2:11" ht="12" hidden="1" customHeight="1">
      <c r="B147" s="46" t="s">
        <v>482</v>
      </c>
      <c r="C147" s="47" t="s">
        <v>483</v>
      </c>
      <c r="D147" s="47" t="s">
        <v>161</v>
      </c>
      <c r="E147" s="48" t="s">
        <v>183</v>
      </c>
      <c r="F147" s="48" t="s">
        <v>184</v>
      </c>
      <c r="G147" s="48">
        <v>0</v>
      </c>
      <c r="H147" s="48">
        <v>0</v>
      </c>
      <c r="I147" s="49">
        <v>0</v>
      </c>
      <c r="J147" s="49" t="str">
        <f t="shared" si="8"/>
        <v/>
      </c>
      <c r="K147" s="65">
        <v>1</v>
      </c>
    </row>
    <row r="148" spans="2:11" ht="12" hidden="1" customHeight="1">
      <c r="B148" s="46" t="s">
        <v>484</v>
      </c>
      <c r="C148" s="47" t="s">
        <v>485</v>
      </c>
      <c r="D148" s="47" t="s">
        <v>174</v>
      </c>
      <c r="E148" s="48" t="s">
        <v>185</v>
      </c>
      <c r="F148" s="48" t="s">
        <v>184</v>
      </c>
      <c r="G148" s="48">
        <v>40</v>
      </c>
      <c r="H148" s="48">
        <v>40</v>
      </c>
      <c r="I148" s="49">
        <v>7337183.2699999996</v>
      </c>
      <c r="J148" s="49">
        <f t="shared" si="8"/>
        <v>183429.58174999998</v>
      </c>
      <c r="K148" s="65">
        <v>1</v>
      </c>
    </row>
    <row r="149" spans="2:11" ht="12" hidden="1" customHeight="1">
      <c r="B149" s="46" t="s">
        <v>486</v>
      </c>
      <c r="C149" s="47" t="s">
        <v>487</v>
      </c>
      <c r="D149" s="47" t="s">
        <v>174</v>
      </c>
      <c r="E149" s="48" t="s">
        <v>185</v>
      </c>
      <c r="F149" s="48" t="s">
        <v>184</v>
      </c>
      <c r="G149" s="48">
        <v>100</v>
      </c>
      <c r="H149" s="48">
        <v>100</v>
      </c>
      <c r="I149" s="49">
        <v>21750521.719999999</v>
      </c>
      <c r="J149" s="49">
        <f t="shared" si="8"/>
        <v>217505.21719999998</v>
      </c>
      <c r="K149" s="65">
        <v>1</v>
      </c>
    </row>
    <row r="150" spans="2:11" ht="12" hidden="1" customHeight="1">
      <c r="B150" s="46" t="s">
        <v>488</v>
      </c>
      <c r="C150" s="47" t="s">
        <v>489</v>
      </c>
      <c r="D150" s="47" t="s">
        <v>174</v>
      </c>
      <c r="E150" s="48" t="s">
        <v>183</v>
      </c>
      <c r="F150" s="48" t="s">
        <v>184</v>
      </c>
      <c r="G150" s="48">
        <v>45</v>
      </c>
      <c r="H150" s="48">
        <v>45</v>
      </c>
      <c r="I150" s="49">
        <v>3203430.72</v>
      </c>
      <c r="J150" s="49">
        <f t="shared" si="8"/>
        <v>71187.349333333332</v>
      </c>
      <c r="K150" s="65">
        <v>1</v>
      </c>
    </row>
    <row r="151" spans="2:11" ht="12" hidden="1" customHeight="1">
      <c r="B151" s="46" t="s">
        <v>490</v>
      </c>
      <c r="C151" s="47" t="s">
        <v>491</v>
      </c>
      <c r="D151" s="47" t="s">
        <v>107</v>
      </c>
      <c r="E151" s="48" t="s">
        <v>185</v>
      </c>
      <c r="F151" s="48" t="s">
        <v>183</v>
      </c>
      <c r="G151" s="48">
        <v>0</v>
      </c>
      <c r="H151" s="48">
        <v>17</v>
      </c>
      <c r="I151" s="49">
        <v>0</v>
      </c>
      <c r="J151" s="49" t="str">
        <f t="shared" si="8"/>
        <v/>
      </c>
      <c r="K151" s="65">
        <v>1</v>
      </c>
    </row>
    <row r="152" spans="2:11" ht="12" hidden="1" customHeight="1">
      <c r="B152" s="46" t="s">
        <v>492</v>
      </c>
      <c r="C152" s="47" t="s">
        <v>493</v>
      </c>
      <c r="D152" s="47" t="s">
        <v>494</v>
      </c>
      <c r="E152" s="48" t="s">
        <v>185</v>
      </c>
      <c r="F152" s="48" t="s">
        <v>183</v>
      </c>
      <c r="G152" s="48">
        <v>14</v>
      </c>
      <c r="H152" s="48">
        <v>20</v>
      </c>
      <c r="I152" s="49">
        <v>351068.99</v>
      </c>
      <c r="J152" s="49">
        <f t="shared" si="8"/>
        <v>25076.356428571427</v>
      </c>
      <c r="K152" s="65">
        <v>1</v>
      </c>
    </row>
    <row r="153" spans="2:11" ht="12" hidden="1" customHeight="1">
      <c r="B153" s="46" t="s">
        <v>495</v>
      </c>
      <c r="C153" s="47" t="s">
        <v>496</v>
      </c>
      <c r="D153" s="47" t="s">
        <v>152</v>
      </c>
      <c r="E153" s="48" t="s">
        <v>183</v>
      </c>
      <c r="F153" s="48" t="s">
        <v>184</v>
      </c>
      <c r="G153" s="48">
        <v>100</v>
      </c>
      <c r="H153" s="48">
        <v>100</v>
      </c>
      <c r="I153" s="49">
        <v>6150471.6600000001</v>
      </c>
      <c r="J153" s="49">
        <f t="shared" si="8"/>
        <v>61504.7166</v>
      </c>
      <c r="K153" s="65">
        <v>1</v>
      </c>
    </row>
    <row r="154" spans="2:11" ht="12" hidden="1" customHeight="1">
      <c r="B154" s="46" t="s">
        <v>497</v>
      </c>
      <c r="C154" s="47" t="s">
        <v>498</v>
      </c>
      <c r="D154" s="47" t="s">
        <v>174</v>
      </c>
      <c r="E154" s="48" t="s">
        <v>185</v>
      </c>
      <c r="F154" s="48" t="s">
        <v>184</v>
      </c>
      <c r="G154" s="48">
        <v>87</v>
      </c>
      <c r="H154" s="48">
        <v>105</v>
      </c>
      <c r="I154" s="49">
        <v>15133134.050000001</v>
      </c>
      <c r="J154" s="49">
        <f t="shared" si="8"/>
        <v>173944.06954022989</v>
      </c>
      <c r="K154" s="65">
        <v>1</v>
      </c>
    </row>
    <row r="155" spans="2:11" ht="12" hidden="1" customHeight="1">
      <c r="B155" s="46" t="s">
        <v>499</v>
      </c>
      <c r="C155" s="47" t="s">
        <v>500</v>
      </c>
      <c r="D155" s="47" t="s">
        <v>120</v>
      </c>
      <c r="E155" s="48" t="s">
        <v>183</v>
      </c>
      <c r="F155" s="48" t="s">
        <v>184</v>
      </c>
      <c r="G155" s="48">
        <v>30</v>
      </c>
      <c r="H155" s="48">
        <v>30</v>
      </c>
      <c r="I155" s="49">
        <v>1240347.5</v>
      </c>
      <c r="J155" s="49">
        <f t="shared" si="8"/>
        <v>41344.916666666664</v>
      </c>
      <c r="K155" s="65">
        <v>1</v>
      </c>
    </row>
    <row r="156" spans="2:11" ht="12" hidden="1" customHeight="1">
      <c r="B156" s="46" t="s">
        <v>501</v>
      </c>
      <c r="C156" s="47" t="s">
        <v>502</v>
      </c>
      <c r="D156" s="47" t="s">
        <v>108</v>
      </c>
      <c r="E156" s="48" t="s">
        <v>185</v>
      </c>
      <c r="F156" s="48" t="s">
        <v>183</v>
      </c>
      <c r="G156" s="48">
        <v>28</v>
      </c>
      <c r="H156" s="48">
        <v>28</v>
      </c>
      <c r="I156" s="49">
        <v>1857433.25</v>
      </c>
      <c r="J156" s="49">
        <f t="shared" si="8"/>
        <v>66336.90178571429</v>
      </c>
      <c r="K156" s="65">
        <v>1</v>
      </c>
    </row>
    <row r="157" spans="2:11" ht="12" hidden="1" customHeight="1">
      <c r="B157" s="46" t="s">
        <v>503</v>
      </c>
      <c r="C157" s="47" t="s">
        <v>504</v>
      </c>
      <c r="D157" s="47" t="s">
        <v>154</v>
      </c>
      <c r="E157" s="48" t="s">
        <v>183</v>
      </c>
      <c r="F157" s="48" t="s">
        <v>184</v>
      </c>
      <c r="G157" s="48">
        <v>35</v>
      </c>
      <c r="H157" s="48">
        <v>35</v>
      </c>
      <c r="I157" s="49">
        <v>1263558.73</v>
      </c>
      <c r="J157" s="49">
        <f t="shared" si="8"/>
        <v>36101.678</v>
      </c>
      <c r="K157" s="65">
        <v>1</v>
      </c>
    </row>
    <row r="158" spans="2:11" ht="12" hidden="1" customHeight="1">
      <c r="B158" s="46" t="s">
        <v>505</v>
      </c>
      <c r="C158" s="47" t="s">
        <v>506</v>
      </c>
      <c r="D158" s="47" t="s">
        <v>138</v>
      </c>
      <c r="E158" s="48" t="s">
        <v>183</v>
      </c>
      <c r="F158" s="48" t="s">
        <v>184</v>
      </c>
      <c r="G158" s="48">
        <v>34</v>
      </c>
      <c r="H158" s="48">
        <v>34</v>
      </c>
      <c r="I158" s="49">
        <v>1344986.96</v>
      </c>
      <c r="J158" s="49">
        <f t="shared" si="8"/>
        <v>39558.44</v>
      </c>
      <c r="K158" s="65">
        <v>1</v>
      </c>
    </row>
    <row r="159" spans="2:11" ht="12" hidden="1" customHeight="1">
      <c r="B159" s="46" t="s">
        <v>507</v>
      </c>
      <c r="C159" s="47" t="s">
        <v>508</v>
      </c>
      <c r="D159" s="47" t="s">
        <v>138</v>
      </c>
      <c r="E159" s="48" t="s">
        <v>185</v>
      </c>
      <c r="F159" s="48" t="s">
        <v>184</v>
      </c>
      <c r="G159" s="48">
        <v>50</v>
      </c>
      <c r="H159" s="48">
        <v>70</v>
      </c>
      <c r="I159" s="49">
        <v>4750276.18</v>
      </c>
      <c r="J159" s="49">
        <f t="shared" si="8"/>
        <v>95005.5236</v>
      </c>
      <c r="K159" s="65">
        <v>1</v>
      </c>
    </row>
    <row r="160" spans="2:11" ht="12" hidden="1" customHeight="1">
      <c r="B160" s="46" t="s">
        <v>509</v>
      </c>
      <c r="C160" s="47" t="s">
        <v>510</v>
      </c>
      <c r="D160" s="47" t="s">
        <v>154</v>
      </c>
      <c r="E160" s="48" t="s">
        <v>185</v>
      </c>
      <c r="F160" s="48" t="s">
        <v>184</v>
      </c>
      <c r="G160" s="48">
        <v>60</v>
      </c>
      <c r="H160" s="48">
        <v>70</v>
      </c>
      <c r="I160" s="49">
        <v>9569307.9800000004</v>
      </c>
      <c r="J160" s="49">
        <f t="shared" si="8"/>
        <v>159488.46633333334</v>
      </c>
      <c r="K160" s="65">
        <v>1</v>
      </c>
    </row>
    <row r="161" spans="2:11" ht="12" hidden="1" customHeight="1">
      <c r="B161" s="46" t="s">
        <v>511</v>
      </c>
      <c r="C161" s="47" t="s">
        <v>512</v>
      </c>
      <c r="D161" s="47" t="s">
        <v>146</v>
      </c>
      <c r="E161" s="48" t="s">
        <v>183</v>
      </c>
      <c r="F161" s="48" t="s">
        <v>184</v>
      </c>
      <c r="G161" s="48">
        <v>80</v>
      </c>
      <c r="H161" s="48">
        <v>80</v>
      </c>
      <c r="I161" s="49">
        <v>3502961.96</v>
      </c>
      <c r="J161" s="49">
        <f t="shared" si="8"/>
        <v>43787.0245</v>
      </c>
      <c r="K161" s="65">
        <v>1</v>
      </c>
    </row>
    <row r="162" spans="2:11" ht="12" hidden="1" customHeight="1">
      <c r="B162" s="46" t="s">
        <v>513</v>
      </c>
      <c r="C162" s="47" t="s">
        <v>188</v>
      </c>
      <c r="D162" s="47" t="s">
        <v>179</v>
      </c>
      <c r="E162" s="48" t="s">
        <v>185</v>
      </c>
      <c r="F162" s="48" t="s">
        <v>183</v>
      </c>
      <c r="G162" s="48">
        <v>8</v>
      </c>
      <c r="H162" s="48">
        <v>8</v>
      </c>
      <c r="I162" s="49">
        <v>276115.40999999997</v>
      </c>
      <c r="J162" s="49">
        <f t="shared" si="8"/>
        <v>34514.426249999997</v>
      </c>
      <c r="K162" s="65">
        <v>1</v>
      </c>
    </row>
    <row r="163" spans="2:11" ht="12" hidden="1" customHeight="1">
      <c r="B163" s="46" t="s">
        <v>514</v>
      </c>
      <c r="C163" s="47" t="s">
        <v>515</v>
      </c>
      <c r="D163" s="47" t="s">
        <v>151</v>
      </c>
      <c r="E163" s="48" t="s">
        <v>185</v>
      </c>
      <c r="F163" s="48" t="s">
        <v>184</v>
      </c>
      <c r="G163" s="48">
        <v>0</v>
      </c>
      <c r="H163" s="48">
        <v>0</v>
      </c>
      <c r="I163" s="49">
        <v>2411442.33</v>
      </c>
      <c r="J163" s="49" t="e">
        <f t="shared" si="8"/>
        <v>#DIV/0!</v>
      </c>
      <c r="K163" s="65">
        <v>1</v>
      </c>
    </row>
    <row r="164" spans="2:11" ht="12" hidden="1" customHeight="1">
      <c r="B164" s="46" t="s">
        <v>514</v>
      </c>
      <c r="C164" s="47" t="s">
        <v>515</v>
      </c>
      <c r="D164" s="47" t="s">
        <v>151</v>
      </c>
      <c r="E164" s="48" t="s">
        <v>185</v>
      </c>
      <c r="F164" s="48" t="s">
        <v>184</v>
      </c>
      <c r="G164" s="48">
        <v>46</v>
      </c>
      <c r="H164" s="48">
        <v>46</v>
      </c>
      <c r="I164" s="49">
        <v>2129642.54</v>
      </c>
      <c r="J164" s="49">
        <f t="shared" si="8"/>
        <v>46296.576956521742</v>
      </c>
      <c r="K164" s="65">
        <v>1</v>
      </c>
    </row>
    <row r="165" spans="2:11" ht="12" hidden="1" customHeight="1">
      <c r="B165" s="50" t="s">
        <v>516</v>
      </c>
      <c r="C165" s="47" t="s">
        <v>517</v>
      </c>
      <c r="D165" s="47" t="s">
        <v>164</v>
      </c>
      <c r="E165" s="48" t="s">
        <v>183</v>
      </c>
      <c r="F165" s="48" t="s">
        <v>183</v>
      </c>
      <c r="G165" s="48">
        <v>25</v>
      </c>
      <c r="H165" s="48">
        <v>25</v>
      </c>
      <c r="I165" s="49">
        <v>824075.68</v>
      </c>
      <c r="J165" s="49">
        <f t="shared" si="8"/>
        <v>32963.027200000004</v>
      </c>
      <c r="K165" s="65">
        <v>1</v>
      </c>
    </row>
    <row r="166" spans="2:11" ht="12" hidden="1" customHeight="1">
      <c r="B166" s="46" t="s">
        <v>518</v>
      </c>
      <c r="C166" s="47" t="s">
        <v>519</v>
      </c>
      <c r="D166" s="47" t="s">
        <v>116</v>
      </c>
      <c r="E166" s="48" t="s">
        <v>185</v>
      </c>
      <c r="F166" s="48" t="s">
        <v>184</v>
      </c>
      <c r="G166" s="48">
        <v>80</v>
      </c>
      <c r="H166" s="48">
        <v>95</v>
      </c>
      <c r="I166" s="49">
        <v>13380497.210000001</v>
      </c>
      <c r="J166" s="49">
        <f t="shared" si="8"/>
        <v>167256.21512500002</v>
      </c>
      <c r="K166" s="65">
        <v>1</v>
      </c>
    </row>
    <row r="167" spans="2:11" ht="12" hidden="1" customHeight="1">
      <c r="B167" s="46" t="s">
        <v>520</v>
      </c>
      <c r="C167" s="47" t="s">
        <v>521</v>
      </c>
      <c r="D167" s="47" t="s">
        <v>122</v>
      </c>
      <c r="E167" s="48" t="s">
        <v>183</v>
      </c>
      <c r="F167" s="48" t="s">
        <v>184</v>
      </c>
      <c r="G167" s="48">
        <v>27</v>
      </c>
      <c r="H167" s="48">
        <v>27</v>
      </c>
      <c r="I167" s="49">
        <v>1113631.05</v>
      </c>
      <c r="J167" s="49">
        <f t="shared" si="8"/>
        <v>41245.594444444447</v>
      </c>
      <c r="K167" s="65">
        <v>1</v>
      </c>
    </row>
    <row r="168" spans="2:11" ht="12" hidden="1" customHeight="1">
      <c r="B168" s="46" t="s">
        <v>522</v>
      </c>
      <c r="C168" s="47" t="s">
        <v>523</v>
      </c>
      <c r="D168" s="47" t="s">
        <v>122</v>
      </c>
      <c r="E168" s="48" t="s">
        <v>183</v>
      </c>
      <c r="F168" s="48" t="s">
        <v>184</v>
      </c>
      <c r="G168" s="48">
        <v>82</v>
      </c>
      <c r="H168" s="48">
        <v>82</v>
      </c>
      <c r="I168" s="49">
        <v>8379041.3399999999</v>
      </c>
      <c r="J168" s="49">
        <f t="shared" si="8"/>
        <v>102183.43097560975</v>
      </c>
      <c r="K168" s="65">
        <v>1</v>
      </c>
    </row>
    <row r="169" spans="2:11" ht="12" hidden="1" customHeight="1">
      <c r="B169" s="46" t="s">
        <v>524</v>
      </c>
      <c r="C169" s="47" t="s">
        <v>525</v>
      </c>
      <c r="D169" s="47" t="s">
        <v>137</v>
      </c>
      <c r="E169" s="48" t="s">
        <v>183</v>
      </c>
      <c r="F169" s="48" t="s">
        <v>184</v>
      </c>
      <c r="G169" s="48">
        <v>30</v>
      </c>
      <c r="H169" s="48">
        <v>35</v>
      </c>
      <c r="I169" s="49">
        <v>1020425.38</v>
      </c>
      <c r="J169" s="49">
        <f t="shared" si="8"/>
        <v>34014.179333333333</v>
      </c>
      <c r="K169" s="65">
        <v>1</v>
      </c>
    </row>
    <row r="170" spans="2:11" ht="12" hidden="1" customHeight="1">
      <c r="B170" s="46" t="s">
        <v>526</v>
      </c>
      <c r="C170" s="47" t="s">
        <v>527</v>
      </c>
      <c r="D170" s="47" t="s">
        <v>120</v>
      </c>
      <c r="E170" s="48" t="s">
        <v>183</v>
      </c>
      <c r="F170" s="48" t="s">
        <v>184</v>
      </c>
      <c r="G170" s="48">
        <v>40</v>
      </c>
      <c r="H170" s="48">
        <v>52</v>
      </c>
      <c r="I170" s="49">
        <v>999964.59</v>
      </c>
      <c r="J170" s="49">
        <f t="shared" si="8"/>
        <v>24999.114750000001</v>
      </c>
      <c r="K170" s="65">
        <v>1</v>
      </c>
    </row>
    <row r="171" spans="2:11" ht="12" hidden="1" customHeight="1">
      <c r="B171" s="46" t="s">
        <v>528</v>
      </c>
      <c r="C171" s="47" t="s">
        <v>529</v>
      </c>
      <c r="D171" s="47" t="s">
        <v>129</v>
      </c>
      <c r="E171" s="48" t="s">
        <v>185</v>
      </c>
      <c r="F171" s="48" t="s">
        <v>183</v>
      </c>
      <c r="G171" s="48">
        <v>40</v>
      </c>
      <c r="H171" s="48">
        <v>40</v>
      </c>
      <c r="I171" s="49">
        <v>0</v>
      </c>
      <c r="J171" s="49" t="str">
        <f t="shared" si="8"/>
        <v/>
      </c>
      <c r="K171" s="65">
        <v>1</v>
      </c>
    </row>
    <row r="172" spans="2:11" ht="12" hidden="1" customHeight="1">
      <c r="B172" s="46" t="s">
        <v>530</v>
      </c>
      <c r="C172" s="47" t="s">
        <v>531</v>
      </c>
      <c r="D172" s="47" t="s">
        <v>129</v>
      </c>
      <c r="E172" s="48" t="s">
        <v>185</v>
      </c>
      <c r="F172" s="48" t="s">
        <v>183</v>
      </c>
      <c r="G172" s="48">
        <v>50</v>
      </c>
      <c r="H172" s="48">
        <v>60</v>
      </c>
      <c r="I172" s="49">
        <v>6383220.2300000004</v>
      </c>
      <c r="J172" s="49">
        <f t="shared" si="8"/>
        <v>127664.40460000001</v>
      </c>
      <c r="K172" s="65">
        <v>1</v>
      </c>
    </row>
    <row r="173" spans="2:11" ht="12" hidden="1" customHeight="1">
      <c r="B173" s="46" t="s">
        <v>532</v>
      </c>
      <c r="C173" s="47" t="s">
        <v>533</v>
      </c>
      <c r="D173" s="47" t="s">
        <v>129</v>
      </c>
      <c r="E173" s="48" t="s">
        <v>183</v>
      </c>
      <c r="F173" s="48" t="s">
        <v>183</v>
      </c>
      <c r="G173" s="48">
        <v>105</v>
      </c>
      <c r="H173" s="48">
        <v>105</v>
      </c>
      <c r="I173" s="49">
        <v>8938224.4000000004</v>
      </c>
      <c r="J173" s="49">
        <f t="shared" si="8"/>
        <v>85125.94666666667</v>
      </c>
      <c r="K173" s="65">
        <v>1</v>
      </c>
    </row>
    <row r="174" spans="2:11" ht="12" hidden="1" customHeight="1">
      <c r="B174" s="46" t="s">
        <v>534</v>
      </c>
      <c r="C174" s="47" t="s">
        <v>535</v>
      </c>
      <c r="D174" s="47" t="s">
        <v>129</v>
      </c>
      <c r="E174" s="48" t="s">
        <v>183</v>
      </c>
      <c r="F174" s="48" t="s">
        <v>183</v>
      </c>
      <c r="G174" s="48">
        <v>100</v>
      </c>
      <c r="H174" s="48">
        <v>100</v>
      </c>
      <c r="I174" s="49">
        <v>3427964.58</v>
      </c>
      <c r="J174" s="49">
        <f t="shared" si="8"/>
        <v>34279.645799999998</v>
      </c>
      <c r="K174" s="65">
        <v>1</v>
      </c>
    </row>
    <row r="175" spans="2:11" ht="12" hidden="1" customHeight="1">
      <c r="B175" s="46" t="s">
        <v>536</v>
      </c>
      <c r="C175" s="47" t="s">
        <v>537</v>
      </c>
      <c r="D175" s="47" t="s">
        <v>129</v>
      </c>
      <c r="E175" s="48" t="s">
        <v>183</v>
      </c>
      <c r="F175" s="48" t="s">
        <v>183</v>
      </c>
      <c r="G175" s="48">
        <v>42</v>
      </c>
      <c r="H175" s="48">
        <v>42</v>
      </c>
      <c r="I175" s="49">
        <v>2919144.14</v>
      </c>
      <c r="J175" s="49">
        <f t="shared" si="8"/>
        <v>69503.431904761906</v>
      </c>
      <c r="K175" s="65">
        <v>1</v>
      </c>
    </row>
    <row r="176" spans="2:11" ht="12" hidden="1" customHeight="1">
      <c r="B176" s="46" t="s">
        <v>538</v>
      </c>
      <c r="C176" s="47" t="s">
        <v>539</v>
      </c>
      <c r="D176" s="47" t="s">
        <v>105</v>
      </c>
      <c r="E176" s="48" t="s">
        <v>185</v>
      </c>
      <c r="F176" s="48" t="s">
        <v>183</v>
      </c>
      <c r="G176" s="48">
        <v>28</v>
      </c>
      <c r="H176" s="48">
        <v>42</v>
      </c>
      <c r="I176" s="49">
        <v>1226851.97</v>
      </c>
      <c r="J176" s="49">
        <f t="shared" si="8"/>
        <v>43816.141785714288</v>
      </c>
      <c r="K176" s="65">
        <v>1</v>
      </c>
    </row>
    <row r="177" spans="2:11" ht="12" hidden="1" customHeight="1">
      <c r="B177" s="46" t="s">
        <v>540</v>
      </c>
      <c r="C177" s="47" t="s">
        <v>541</v>
      </c>
      <c r="D177" s="47" t="s">
        <v>135</v>
      </c>
      <c r="E177" s="48" t="s">
        <v>185</v>
      </c>
      <c r="F177" s="48" t="s">
        <v>184</v>
      </c>
      <c r="G177" s="48">
        <v>86</v>
      </c>
      <c r="H177" s="48">
        <v>86</v>
      </c>
      <c r="I177" s="49">
        <v>18931308.93</v>
      </c>
      <c r="J177" s="49">
        <f t="shared" si="8"/>
        <v>220131.49918604651</v>
      </c>
      <c r="K177" s="65">
        <v>1</v>
      </c>
    </row>
    <row r="178" spans="2:11" ht="12" hidden="1" customHeight="1">
      <c r="B178" s="46" t="s">
        <v>542</v>
      </c>
      <c r="C178" s="47" t="s">
        <v>543</v>
      </c>
      <c r="D178" s="47" t="s">
        <v>112</v>
      </c>
      <c r="E178" s="48" t="s">
        <v>185</v>
      </c>
      <c r="F178" s="48" t="s">
        <v>184</v>
      </c>
      <c r="G178" s="48">
        <v>50</v>
      </c>
      <c r="H178" s="48">
        <v>50</v>
      </c>
      <c r="I178" s="49">
        <v>7477045.1799999997</v>
      </c>
      <c r="J178" s="49">
        <f t="shared" si="8"/>
        <v>149540.90359999999</v>
      </c>
      <c r="K178" s="65">
        <v>1</v>
      </c>
    </row>
    <row r="179" spans="2:11" ht="12" hidden="1" customHeight="1">
      <c r="B179" s="46" t="s">
        <v>544</v>
      </c>
      <c r="C179" s="47" t="s">
        <v>545</v>
      </c>
      <c r="D179" s="47" t="s">
        <v>154</v>
      </c>
      <c r="E179" s="48" t="s">
        <v>183</v>
      </c>
      <c r="F179" s="48" t="s">
        <v>184</v>
      </c>
      <c r="G179" s="48">
        <v>40</v>
      </c>
      <c r="H179" s="48">
        <v>40</v>
      </c>
      <c r="I179" s="49">
        <v>3849453.42</v>
      </c>
      <c r="J179" s="49">
        <f t="shared" si="8"/>
        <v>96236.335500000001</v>
      </c>
      <c r="K179" s="65">
        <v>1</v>
      </c>
    </row>
    <row r="180" spans="2:11" ht="12" hidden="1" customHeight="1">
      <c r="B180" s="46" t="s">
        <v>546</v>
      </c>
      <c r="C180" s="47" t="s">
        <v>547</v>
      </c>
      <c r="D180" s="47" t="s">
        <v>147</v>
      </c>
      <c r="E180" s="48" t="s">
        <v>185</v>
      </c>
      <c r="F180" s="48" t="s">
        <v>184</v>
      </c>
      <c r="G180" s="48">
        <v>45</v>
      </c>
      <c r="H180" s="48">
        <v>45</v>
      </c>
      <c r="I180" s="49">
        <v>8185283.0800000001</v>
      </c>
      <c r="J180" s="49">
        <f t="shared" si="8"/>
        <v>181895.17955555554</v>
      </c>
      <c r="K180" s="65">
        <v>1</v>
      </c>
    </row>
    <row r="181" spans="2:11" ht="12" hidden="1" customHeight="1">
      <c r="B181" s="46" t="s">
        <v>548</v>
      </c>
      <c r="C181" s="47" t="s">
        <v>549</v>
      </c>
      <c r="D181" s="47" t="s">
        <v>161</v>
      </c>
      <c r="E181" s="48" t="s">
        <v>185</v>
      </c>
      <c r="F181" s="48" t="s">
        <v>184</v>
      </c>
      <c r="G181" s="48">
        <v>0</v>
      </c>
      <c r="H181" s="48">
        <v>25</v>
      </c>
      <c r="I181" s="49">
        <v>13179.37</v>
      </c>
      <c r="J181" s="49" t="e">
        <f t="shared" si="8"/>
        <v>#DIV/0!</v>
      </c>
      <c r="K181" s="65">
        <v>1</v>
      </c>
    </row>
    <row r="182" spans="2:11" ht="12" hidden="1" customHeight="1">
      <c r="B182" s="46" t="s">
        <v>550</v>
      </c>
      <c r="C182" s="47" t="s">
        <v>551</v>
      </c>
      <c r="D182" s="47" t="s">
        <v>146</v>
      </c>
      <c r="E182" s="48" t="s">
        <v>185</v>
      </c>
      <c r="F182" s="48" t="s">
        <v>184</v>
      </c>
      <c r="G182" s="48">
        <v>60</v>
      </c>
      <c r="H182" s="48">
        <v>60</v>
      </c>
      <c r="I182" s="49">
        <v>8197387.6100000003</v>
      </c>
      <c r="J182" s="49">
        <f t="shared" si="8"/>
        <v>136623.12683333334</v>
      </c>
      <c r="K182" s="65">
        <v>1</v>
      </c>
    </row>
    <row r="183" spans="2:11" ht="12" hidden="1" customHeight="1">
      <c r="B183" s="46" t="s">
        <v>552</v>
      </c>
      <c r="C183" s="47" t="s">
        <v>553</v>
      </c>
      <c r="D183" s="47" t="s">
        <v>105</v>
      </c>
      <c r="E183" s="48" t="s">
        <v>185</v>
      </c>
      <c r="F183" s="48" t="s">
        <v>183</v>
      </c>
      <c r="G183" s="48">
        <v>22</v>
      </c>
      <c r="H183" s="48">
        <v>22</v>
      </c>
      <c r="I183" s="49">
        <v>1277915.33</v>
      </c>
      <c r="J183" s="49">
        <f t="shared" si="8"/>
        <v>58087.060454545455</v>
      </c>
      <c r="K183" s="65">
        <v>1</v>
      </c>
    </row>
    <row r="184" spans="2:11" ht="12" hidden="1" customHeight="1">
      <c r="B184" s="46" t="s">
        <v>554</v>
      </c>
      <c r="C184" s="47" t="s">
        <v>555</v>
      </c>
      <c r="D184" s="47" t="s">
        <v>125</v>
      </c>
      <c r="E184" s="48" t="s">
        <v>185</v>
      </c>
      <c r="F184" s="48" t="s">
        <v>183</v>
      </c>
      <c r="G184" s="48">
        <v>0</v>
      </c>
      <c r="H184" s="48">
        <v>0</v>
      </c>
      <c r="I184" s="49">
        <v>0</v>
      </c>
      <c r="J184" s="49" t="str">
        <f t="shared" si="8"/>
        <v/>
      </c>
      <c r="K184" s="65">
        <v>1</v>
      </c>
    </row>
    <row r="185" spans="2:11" ht="12" hidden="1" customHeight="1">
      <c r="B185" s="46" t="s">
        <v>554</v>
      </c>
      <c r="C185" s="47" t="s">
        <v>555</v>
      </c>
      <c r="D185" s="47" t="s">
        <v>125</v>
      </c>
      <c r="E185" s="48" t="s">
        <v>185</v>
      </c>
      <c r="F185" s="48" t="s">
        <v>183</v>
      </c>
      <c r="G185" s="48">
        <v>23</v>
      </c>
      <c r="H185" s="48">
        <v>23</v>
      </c>
      <c r="I185" s="49">
        <v>1331698.1399999999</v>
      </c>
      <c r="J185" s="49">
        <f t="shared" si="8"/>
        <v>57899.919130434777</v>
      </c>
      <c r="K185" s="65">
        <v>1</v>
      </c>
    </row>
    <row r="186" spans="2:11" ht="12" hidden="1" customHeight="1">
      <c r="B186" s="46" t="s">
        <v>556</v>
      </c>
      <c r="C186" s="47" t="s">
        <v>557</v>
      </c>
      <c r="D186" s="47" t="s">
        <v>130</v>
      </c>
      <c r="E186" s="48" t="s">
        <v>185</v>
      </c>
      <c r="F186" s="48" t="s">
        <v>183</v>
      </c>
      <c r="G186" s="48">
        <v>40</v>
      </c>
      <c r="H186" s="48">
        <v>40</v>
      </c>
      <c r="I186" s="49">
        <v>5625987.2199999997</v>
      </c>
      <c r="J186" s="49">
        <f t="shared" si="8"/>
        <v>140649.68049999999</v>
      </c>
      <c r="K186" s="65">
        <v>1</v>
      </c>
    </row>
    <row r="187" spans="2:11" ht="12" hidden="1" customHeight="1">
      <c r="B187" s="46" t="s">
        <v>558</v>
      </c>
      <c r="C187" s="47" t="s">
        <v>559</v>
      </c>
      <c r="D187" s="47" t="s">
        <v>35</v>
      </c>
      <c r="E187" s="48" t="s">
        <v>185</v>
      </c>
      <c r="F187" s="48" t="s">
        <v>183</v>
      </c>
      <c r="G187" s="48">
        <v>40</v>
      </c>
      <c r="H187" s="48">
        <v>40</v>
      </c>
      <c r="I187" s="49">
        <v>3815429.67</v>
      </c>
      <c r="J187" s="49">
        <f t="shared" si="8"/>
        <v>95385.741750000001</v>
      </c>
      <c r="K187" s="65">
        <v>1</v>
      </c>
    </row>
    <row r="188" spans="2:11" ht="12" hidden="1" customHeight="1">
      <c r="B188" s="46" t="s">
        <v>560</v>
      </c>
      <c r="C188" s="47" t="s">
        <v>561</v>
      </c>
      <c r="D188" s="47" t="s">
        <v>122</v>
      </c>
      <c r="E188" s="48" t="s">
        <v>185</v>
      </c>
      <c r="F188" s="48" t="s">
        <v>184</v>
      </c>
      <c r="G188" s="48">
        <v>64</v>
      </c>
      <c r="H188" s="48">
        <v>64</v>
      </c>
      <c r="I188" s="49">
        <v>5645775.0099999998</v>
      </c>
      <c r="J188" s="49">
        <f t="shared" si="8"/>
        <v>88215.234531249997</v>
      </c>
      <c r="K188" s="65">
        <v>1</v>
      </c>
    </row>
    <row r="189" spans="2:11" ht="12" hidden="1" customHeight="1">
      <c r="B189" s="46" t="s">
        <v>562</v>
      </c>
      <c r="C189" s="47" t="s">
        <v>563</v>
      </c>
      <c r="D189" s="47" t="s">
        <v>155</v>
      </c>
      <c r="E189" s="48" t="s">
        <v>185</v>
      </c>
      <c r="F189" s="48" t="s">
        <v>184</v>
      </c>
      <c r="G189" s="48">
        <v>70</v>
      </c>
      <c r="H189" s="48">
        <v>70</v>
      </c>
      <c r="I189" s="49">
        <v>10979290.27</v>
      </c>
      <c r="J189" s="49">
        <f t="shared" si="8"/>
        <v>156847.00385714284</v>
      </c>
      <c r="K189" s="65">
        <v>1</v>
      </c>
    </row>
    <row r="190" spans="2:11" ht="12" hidden="1" customHeight="1">
      <c r="B190" s="46" t="s">
        <v>564</v>
      </c>
      <c r="C190" s="47" t="s">
        <v>565</v>
      </c>
      <c r="D190" s="47" t="s">
        <v>41</v>
      </c>
      <c r="E190" s="48" t="s">
        <v>185</v>
      </c>
      <c r="F190" s="48" t="s">
        <v>183</v>
      </c>
      <c r="G190" s="48">
        <v>34</v>
      </c>
      <c r="H190" s="48">
        <v>34</v>
      </c>
      <c r="I190" s="49">
        <v>5632612.5499999998</v>
      </c>
      <c r="J190" s="49">
        <f t="shared" si="8"/>
        <v>165665.07499999998</v>
      </c>
      <c r="K190" s="65">
        <v>1</v>
      </c>
    </row>
    <row r="191" spans="2:11" ht="12" hidden="1" customHeight="1">
      <c r="B191" s="46" t="s">
        <v>566</v>
      </c>
      <c r="C191" s="47" t="s">
        <v>567</v>
      </c>
      <c r="D191" s="47" t="s">
        <v>121</v>
      </c>
      <c r="E191" s="48" t="s">
        <v>185</v>
      </c>
      <c r="F191" s="48" t="s">
        <v>183</v>
      </c>
      <c r="G191" s="48">
        <v>24</v>
      </c>
      <c r="H191" s="48">
        <v>24</v>
      </c>
      <c r="I191" s="49">
        <v>1860162.05</v>
      </c>
      <c r="J191" s="49">
        <f t="shared" si="8"/>
        <v>77506.75208333334</v>
      </c>
      <c r="K191" s="65">
        <v>1</v>
      </c>
    </row>
    <row r="192" spans="2:11" ht="12" hidden="1" customHeight="1">
      <c r="B192" s="46" t="s">
        <v>568</v>
      </c>
      <c r="C192" s="47" t="s">
        <v>569</v>
      </c>
      <c r="D192" s="47" t="s">
        <v>129</v>
      </c>
      <c r="E192" s="48" t="s">
        <v>185</v>
      </c>
      <c r="F192" s="48" t="s">
        <v>183</v>
      </c>
      <c r="G192" s="48">
        <v>36</v>
      </c>
      <c r="H192" s="48">
        <v>36</v>
      </c>
      <c r="I192" s="49">
        <v>4252039.8499999996</v>
      </c>
      <c r="J192" s="49">
        <f t="shared" si="8"/>
        <v>118112.21805555554</v>
      </c>
      <c r="K192" s="65">
        <v>1</v>
      </c>
    </row>
    <row r="193" spans="2:11" ht="12" hidden="1" customHeight="1">
      <c r="B193" s="46" t="s">
        <v>570</v>
      </c>
      <c r="C193" s="47" t="s">
        <v>571</v>
      </c>
      <c r="D193" s="47" t="s">
        <v>112</v>
      </c>
      <c r="E193" s="48" t="s">
        <v>183</v>
      </c>
      <c r="F193" s="48" t="s">
        <v>184</v>
      </c>
      <c r="G193" s="48">
        <v>70</v>
      </c>
      <c r="H193" s="48">
        <v>70</v>
      </c>
      <c r="I193" s="49">
        <v>4915313.47</v>
      </c>
      <c r="J193" s="49">
        <f t="shared" si="8"/>
        <v>70218.763857142854</v>
      </c>
      <c r="K193" s="65">
        <v>1</v>
      </c>
    </row>
    <row r="194" spans="2:11" ht="12" hidden="1" customHeight="1">
      <c r="B194" s="46" t="s">
        <v>572</v>
      </c>
      <c r="C194" s="47" t="s">
        <v>573</v>
      </c>
      <c r="D194" s="47" t="s">
        <v>106</v>
      </c>
      <c r="E194" s="48" t="s">
        <v>185</v>
      </c>
      <c r="F194" s="48" t="s">
        <v>184</v>
      </c>
      <c r="G194" s="48">
        <v>30</v>
      </c>
      <c r="H194" s="48">
        <v>30</v>
      </c>
      <c r="I194" s="49">
        <v>2996175.27</v>
      </c>
      <c r="J194" s="49">
        <f t="shared" si="8"/>
        <v>99872.509000000005</v>
      </c>
      <c r="K194" s="65">
        <v>1</v>
      </c>
    </row>
    <row r="195" spans="2:11" ht="12" hidden="1" customHeight="1">
      <c r="B195" s="46" t="s">
        <v>574</v>
      </c>
      <c r="C195" s="47" t="s">
        <v>575</v>
      </c>
      <c r="D195" s="47" t="s">
        <v>106</v>
      </c>
      <c r="E195" s="48" t="s">
        <v>183</v>
      </c>
      <c r="F195" s="48" t="s">
        <v>184</v>
      </c>
      <c r="G195" s="48">
        <v>78</v>
      </c>
      <c r="H195" s="48">
        <v>78</v>
      </c>
      <c r="I195" s="49">
        <v>4441673.3899999997</v>
      </c>
      <c r="J195" s="49">
        <f t="shared" si="8"/>
        <v>56944.530641025638</v>
      </c>
      <c r="K195" s="65">
        <v>1</v>
      </c>
    </row>
    <row r="196" spans="2:11" ht="12" customHeight="1">
      <c r="B196" s="46" t="s">
        <v>576</v>
      </c>
      <c r="C196" s="47" t="s">
        <v>577</v>
      </c>
      <c r="D196" s="47" t="s">
        <v>128</v>
      </c>
      <c r="E196" s="48" t="s">
        <v>183</v>
      </c>
      <c r="F196" s="48" t="s">
        <v>184</v>
      </c>
      <c r="G196" s="48">
        <v>93</v>
      </c>
      <c r="H196" s="48">
        <v>93</v>
      </c>
      <c r="I196" s="49">
        <v>12492820.880000001</v>
      </c>
      <c r="J196" s="49">
        <f t="shared" si="8"/>
        <v>134331.40731182796</v>
      </c>
      <c r="K196" s="65">
        <v>1</v>
      </c>
    </row>
    <row r="197" spans="2:11" ht="12" hidden="1" customHeight="1">
      <c r="B197" s="46" t="s">
        <v>578</v>
      </c>
      <c r="C197" s="47" t="s">
        <v>579</v>
      </c>
      <c r="D197" s="47" t="s">
        <v>161</v>
      </c>
      <c r="E197" s="48" t="s">
        <v>185</v>
      </c>
      <c r="F197" s="48" t="s">
        <v>184</v>
      </c>
      <c r="G197" s="48">
        <v>22</v>
      </c>
      <c r="H197" s="48">
        <v>22</v>
      </c>
      <c r="I197" s="49">
        <v>546544.19999999995</v>
      </c>
      <c r="J197" s="49">
        <f t="shared" ref="J197:J260" si="9">IF(I197&gt;0,I197/G197,"")</f>
        <v>24842.918181818179</v>
      </c>
      <c r="K197" s="65">
        <v>1</v>
      </c>
    </row>
    <row r="198" spans="2:11" ht="12" hidden="1" customHeight="1">
      <c r="B198" s="46" t="s">
        <v>580</v>
      </c>
      <c r="C198" s="47" t="s">
        <v>581</v>
      </c>
      <c r="D198" s="47" t="s">
        <v>129</v>
      </c>
      <c r="E198" s="48" t="s">
        <v>185</v>
      </c>
      <c r="F198" s="48" t="s">
        <v>183</v>
      </c>
      <c r="G198" s="48">
        <v>80</v>
      </c>
      <c r="H198" s="48">
        <v>80</v>
      </c>
      <c r="I198" s="49">
        <v>11118529.26</v>
      </c>
      <c r="J198" s="49">
        <f t="shared" si="9"/>
        <v>138981.61575</v>
      </c>
      <c r="K198" s="65">
        <v>1</v>
      </c>
    </row>
    <row r="199" spans="2:11" ht="12" hidden="1" customHeight="1">
      <c r="B199" s="46" t="s">
        <v>582</v>
      </c>
      <c r="C199" s="47" t="s">
        <v>583</v>
      </c>
      <c r="D199" s="47" t="s">
        <v>116</v>
      </c>
      <c r="E199" s="48" t="s">
        <v>185</v>
      </c>
      <c r="F199" s="48" t="s">
        <v>184</v>
      </c>
      <c r="G199" s="48">
        <v>80</v>
      </c>
      <c r="H199" s="48">
        <v>92</v>
      </c>
      <c r="I199" s="49">
        <v>12365151.75</v>
      </c>
      <c r="J199" s="49">
        <f t="shared" si="9"/>
        <v>154564.39687500001</v>
      </c>
      <c r="K199" s="65">
        <v>1</v>
      </c>
    </row>
    <row r="200" spans="2:11" ht="12" hidden="1" customHeight="1">
      <c r="B200" s="46" t="s">
        <v>584</v>
      </c>
      <c r="C200" s="47" t="s">
        <v>585</v>
      </c>
      <c r="D200" s="47" t="s">
        <v>109</v>
      </c>
      <c r="E200" s="48" t="s">
        <v>183</v>
      </c>
      <c r="F200" s="48" t="s">
        <v>184</v>
      </c>
      <c r="G200" s="48">
        <v>30</v>
      </c>
      <c r="H200" s="48">
        <v>30</v>
      </c>
      <c r="I200" s="49">
        <v>974022.1</v>
      </c>
      <c r="J200" s="49">
        <f t="shared" si="9"/>
        <v>32467.403333333332</v>
      </c>
      <c r="K200" s="65">
        <v>1</v>
      </c>
    </row>
    <row r="201" spans="2:11" ht="12" hidden="1" customHeight="1">
      <c r="B201" s="46" t="s">
        <v>586</v>
      </c>
      <c r="C201" s="47" t="s">
        <v>587</v>
      </c>
      <c r="D201" s="47" t="s">
        <v>116</v>
      </c>
      <c r="E201" s="48" t="s">
        <v>185</v>
      </c>
      <c r="F201" s="48" t="s">
        <v>184</v>
      </c>
      <c r="G201" s="48">
        <v>73</v>
      </c>
      <c r="H201" s="48">
        <v>73</v>
      </c>
      <c r="I201" s="49">
        <v>9909061.1099999994</v>
      </c>
      <c r="J201" s="49">
        <f t="shared" si="9"/>
        <v>135740.56315068493</v>
      </c>
      <c r="K201" s="65">
        <v>1</v>
      </c>
    </row>
    <row r="202" spans="2:11" ht="12" hidden="1" customHeight="1">
      <c r="B202" s="46" t="s">
        <v>588</v>
      </c>
      <c r="C202" s="47" t="s">
        <v>589</v>
      </c>
      <c r="D202" s="47" t="s">
        <v>109</v>
      </c>
      <c r="E202" s="48" t="s">
        <v>183</v>
      </c>
      <c r="F202" s="48" t="s">
        <v>184</v>
      </c>
      <c r="G202" s="48">
        <v>20</v>
      </c>
      <c r="H202" s="48">
        <v>20</v>
      </c>
      <c r="I202" s="49">
        <v>0</v>
      </c>
      <c r="J202" s="49" t="str">
        <f t="shared" si="9"/>
        <v/>
      </c>
      <c r="K202" s="65">
        <v>1</v>
      </c>
    </row>
    <row r="203" spans="2:11" ht="12" hidden="1" customHeight="1">
      <c r="B203" s="46" t="s">
        <v>590</v>
      </c>
      <c r="C203" s="47" t="s">
        <v>591</v>
      </c>
      <c r="D203" s="47" t="s">
        <v>111</v>
      </c>
      <c r="E203" s="48" t="s">
        <v>185</v>
      </c>
      <c r="F203" s="48" t="s">
        <v>184</v>
      </c>
      <c r="G203" s="48">
        <v>47</v>
      </c>
      <c r="H203" s="48">
        <v>47</v>
      </c>
      <c r="I203" s="49">
        <v>7371167.8499999996</v>
      </c>
      <c r="J203" s="49">
        <f t="shared" si="9"/>
        <v>156833.3585106383</v>
      </c>
      <c r="K203" s="65">
        <v>1</v>
      </c>
    </row>
    <row r="204" spans="2:11" ht="12" hidden="1" customHeight="1">
      <c r="B204" s="46" t="s">
        <v>592</v>
      </c>
      <c r="C204" s="47" t="s">
        <v>593</v>
      </c>
      <c r="D204" s="47" t="s">
        <v>155</v>
      </c>
      <c r="E204" s="48" t="s">
        <v>183</v>
      </c>
      <c r="F204" s="48" t="s">
        <v>184</v>
      </c>
      <c r="G204" s="48">
        <v>50</v>
      </c>
      <c r="H204" s="48">
        <v>50</v>
      </c>
      <c r="I204" s="49">
        <v>3090991.99</v>
      </c>
      <c r="J204" s="49">
        <f t="shared" si="9"/>
        <v>61819.839800000002</v>
      </c>
      <c r="K204" s="65">
        <v>1</v>
      </c>
    </row>
    <row r="205" spans="2:11" ht="12" hidden="1" customHeight="1">
      <c r="B205" s="46" t="s">
        <v>594</v>
      </c>
      <c r="C205" s="47" t="s">
        <v>595</v>
      </c>
      <c r="D205" s="47" t="s">
        <v>177</v>
      </c>
      <c r="E205" s="48" t="s">
        <v>183</v>
      </c>
      <c r="F205" s="48" t="s">
        <v>184</v>
      </c>
      <c r="G205" s="48">
        <v>50</v>
      </c>
      <c r="H205" s="48">
        <v>50</v>
      </c>
      <c r="I205" s="49">
        <v>2505333.9700000002</v>
      </c>
      <c r="J205" s="49">
        <f t="shared" si="9"/>
        <v>50106.679400000001</v>
      </c>
      <c r="K205" s="65">
        <v>1</v>
      </c>
    </row>
    <row r="206" spans="2:11" ht="12" hidden="1" customHeight="1">
      <c r="B206" s="46" t="s">
        <v>596</v>
      </c>
      <c r="C206" s="47" t="s">
        <v>597</v>
      </c>
      <c r="D206" s="47" t="s">
        <v>106</v>
      </c>
      <c r="E206" s="48" t="s">
        <v>183</v>
      </c>
      <c r="F206" s="48" t="s">
        <v>184</v>
      </c>
      <c r="G206" s="48">
        <v>0</v>
      </c>
      <c r="H206" s="48">
        <v>25</v>
      </c>
      <c r="I206" s="49">
        <v>0</v>
      </c>
      <c r="J206" s="49" t="str">
        <f t="shared" si="9"/>
        <v/>
      </c>
      <c r="K206" s="65">
        <v>1</v>
      </c>
    </row>
    <row r="207" spans="2:11" ht="12" hidden="1" customHeight="1">
      <c r="B207" s="46" t="s">
        <v>598</v>
      </c>
      <c r="C207" s="47" t="s">
        <v>599</v>
      </c>
      <c r="D207" s="47" t="s">
        <v>137</v>
      </c>
      <c r="E207" s="48" t="s">
        <v>183</v>
      </c>
      <c r="F207" s="48" t="s">
        <v>184</v>
      </c>
      <c r="G207" s="48">
        <v>41</v>
      </c>
      <c r="H207" s="48">
        <v>41</v>
      </c>
      <c r="I207" s="49">
        <v>1903375.91</v>
      </c>
      <c r="J207" s="49">
        <f t="shared" si="9"/>
        <v>46423.802682926827</v>
      </c>
      <c r="K207" s="65">
        <v>1</v>
      </c>
    </row>
    <row r="208" spans="2:11" ht="12" hidden="1" customHeight="1">
      <c r="B208" s="46" t="s">
        <v>600</v>
      </c>
      <c r="C208" s="47" t="s">
        <v>601</v>
      </c>
      <c r="D208" s="47" t="s">
        <v>135</v>
      </c>
      <c r="E208" s="48" t="s">
        <v>185</v>
      </c>
      <c r="F208" s="48" t="s">
        <v>184</v>
      </c>
      <c r="G208" s="48">
        <v>60</v>
      </c>
      <c r="H208" s="48">
        <v>60</v>
      </c>
      <c r="I208" s="49">
        <v>5942731.04</v>
      </c>
      <c r="J208" s="49">
        <f t="shared" si="9"/>
        <v>99045.517333333337</v>
      </c>
      <c r="K208" s="65">
        <v>1</v>
      </c>
    </row>
    <row r="209" spans="2:11" ht="12" hidden="1" customHeight="1">
      <c r="B209" s="46" t="s">
        <v>602</v>
      </c>
      <c r="C209" s="47" t="s">
        <v>603</v>
      </c>
      <c r="D209" s="47" t="s">
        <v>144</v>
      </c>
      <c r="E209" s="48" t="s">
        <v>185</v>
      </c>
      <c r="F209" s="48" t="s">
        <v>184</v>
      </c>
      <c r="G209" s="48">
        <v>52</v>
      </c>
      <c r="H209" s="48">
        <v>70</v>
      </c>
      <c r="I209" s="49">
        <v>6391447.3499999996</v>
      </c>
      <c r="J209" s="49">
        <f t="shared" si="9"/>
        <v>122912.44903846153</v>
      </c>
      <c r="K209" s="65">
        <v>1</v>
      </c>
    </row>
    <row r="210" spans="2:11" ht="12" customHeight="1">
      <c r="B210" s="46" t="s">
        <v>604</v>
      </c>
      <c r="C210" s="47" t="s">
        <v>605</v>
      </c>
      <c r="D210" s="47" t="s">
        <v>128</v>
      </c>
      <c r="E210" s="48" t="s">
        <v>183</v>
      </c>
      <c r="F210" s="48" t="s">
        <v>184</v>
      </c>
      <c r="G210" s="48">
        <v>90</v>
      </c>
      <c r="H210" s="48">
        <v>90</v>
      </c>
      <c r="I210" s="49">
        <v>16554520.039999999</v>
      </c>
      <c r="J210" s="49">
        <f t="shared" si="9"/>
        <v>183939.11155555554</v>
      </c>
      <c r="K210" s="65">
        <v>1</v>
      </c>
    </row>
    <row r="211" spans="2:11" ht="12" hidden="1" customHeight="1">
      <c r="B211" s="46" t="s">
        <v>606</v>
      </c>
      <c r="C211" s="47" t="s">
        <v>607</v>
      </c>
      <c r="D211" s="47" t="s">
        <v>130</v>
      </c>
      <c r="E211" s="48" t="s">
        <v>183</v>
      </c>
      <c r="F211" s="48" t="s">
        <v>183</v>
      </c>
      <c r="G211" s="48">
        <v>10</v>
      </c>
      <c r="H211" s="48">
        <v>20</v>
      </c>
      <c r="I211" s="49">
        <v>391935.84</v>
      </c>
      <c r="J211" s="49">
        <f t="shared" si="9"/>
        <v>39193.584000000003</v>
      </c>
      <c r="K211" s="65">
        <v>1</v>
      </c>
    </row>
    <row r="212" spans="2:11" ht="12" hidden="1" customHeight="1">
      <c r="B212" s="46" t="s">
        <v>608</v>
      </c>
      <c r="C212" s="47" t="s">
        <v>609</v>
      </c>
      <c r="D212" s="47" t="s">
        <v>149</v>
      </c>
      <c r="E212" s="48" t="s">
        <v>185</v>
      </c>
      <c r="F212" s="48" t="s">
        <v>183</v>
      </c>
      <c r="G212" s="48">
        <v>45</v>
      </c>
      <c r="H212" s="48">
        <v>45</v>
      </c>
      <c r="I212" s="49">
        <v>3213171.02</v>
      </c>
      <c r="J212" s="49">
        <f t="shared" si="9"/>
        <v>71403.800444444438</v>
      </c>
      <c r="K212" s="65">
        <v>1</v>
      </c>
    </row>
    <row r="213" spans="2:11" ht="12" hidden="1" customHeight="1">
      <c r="B213" s="46" t="s">
        <v>610</v>
      </c>
      <c r="C213" s="47" t="s">
        <v>611</v>
      </c>
      <c r="D213" s="47" t="s">
        <v>175</v>
      </c>
      <c r="E213" s="48" t="s">
        <v>183</v>
      </c>
      <c r="F213" s="48" t="s">
        <v>184</v>
      </c>
      <c r="G213" s="48">
        <v>91</v>
      </c>
      <c r="H213" s="48">
        <v>91</v>
      </c>
      <c r="I213" s="49">
        <v>6324503.2199999997</v>
      </c>
      <c r="J213" s="49">
        <f t="shared" si="9"/>
        <v>69500.035384615388</v>
      </c>
      <c r="K213" s="65">
        <v>1</v>
      </c>
    </row>
    <row r="214" spans="2:11" ht="12" hidden="1" customHeight="1">
      <c r="B214" s="46" t="s">
        <v>612</v>
      </c>
      <c r="C214" s="47" t="s">
        <v>613</v>
      </c>
      <c r="D214" s="47" t="s">
        <v>175</v>
      </c>
      <c r="E214" s="48" t="s">
        <v>183</v>
      </c>
      <c r="F214" s="48" t="s">
        <v>184</v>
      </c>
      <c r="G214" s="48">
        <v>55</v>
      </c>
      <c r="H214" s="48">
        <v>55</v>
      </c>
      <c r="I214" s="49">
        <v>3277532.56</v>
      </c>
      <c r="J214" s="49">
        <f t="shared" si="9"/>
        <v>59591.501090909092</v>
      </c>
      <c r="K214" s="65">
        <v>1</v>
      </c>
    </row>
    <row r="215" spans="2:11" ht="12" hidden="1" customHeight="1">
      <c r="B215" s="46" t="s">
        <v>614</v>
      </c>
      <c r="C215" s="47" t="s">
        <v>615</v>
      </c>
      <c r="D215" s="47" t="s">
        <v>134</v>
      </c>
      <c r="E215" s="48" t="s">
        <v>183</v>
      </c>
      <c r="F215" s="48" t="s">
        <v>183</v>
      </c>
      <c r="G215" s="48">
        <v>36</v>
      </c>
      <c r="H215" s="48">
        <v>36</v>
      </c>
      <c r="I215" s="49">
        <v>2082809.82</v>
      </c>
      <c r="J215" s="49">
        <f t="shared" si="9"/>
        <v>57855.828333333338</v>
      </c>
      <c r="K215" s="65">
        <v>1</v>
      </c>
    </row>
    <row r="216" spans="2:11" ht="12" hidden="1" customHeight="1">
      <c r="B216" s="46" t="s">
        <v>616</v>
      </c>
      <c r="C216" s="47" t="s">
        <v>617</v>
      </c>
      <c r="D216" s="47" t="s">
        <v>134</v>
      </c>
      <c r="E216" s="48" t="s">
        <v>183</v>
      </c>
      <c r="F216" s="48" t="s">
        <v>183</v>
      </c>
      <c r="G216" s="48">
        <v>78</v>
      </c>
      <c r="H216" s="48">
        <v>78</v>
      </c>
      <c r="I216" s="49">
        <v>5556389.6299999999</v>
      </c>
      <c r="J216" s="49">
        <f t="shared" si="9"/>
        <v>71235.764487179491</v>
      </c>
      <c r="K216" s="65">
        <v>1</v>
      </c>
    </row>
    <row r="217" spans="2:11" ht="12" hidden="1" customHeight="1">
      <c r="B217" s="46" t="s">
        <v>618</v>
      </c>
      <c r="C217" s="47" t="s">
        <v>619</v>
      </c>
      <c r="D217" s="47" t="s">
        <v>175</v>
      </c>
      <c r="E217" s="48" t="s">
        <v>185</v>
      </c>
      <c r="F217" s="48" t="s">
        <v>184</v>
      </c>
      <c r="G217" s="48">
        <v>65</v>
      </c>
      <c r="H217" s="48">
        <v>65</v>
      </c>
      <c r="I217" s="49">
        <v>7423942.5</v>
      </c>
      <c r="J217" s="49">
        <f t="shared" si="9"/>
        <v>114214.5</v>
      </c>
      <c r="K217" s="65">
        <v>1</v>
      </c>
    </row>
    <row r="218" spans="2:11" ht="12" hidden="1" customHeight="1">
      <c r="B218" s="46" t="s">
        <v>620</v>
      </c>
      <c r="C218" s="47" t="s">
        <v>621</v>
      </c>
      <c r="D218" s="47" t="s">
        <v>107</v>
      </c>
      <c r="E218" s="48" t="s">
        <v>185</v>
      </c>
      <c r="F218" s="48" t="s">
        <v>183</v>
      </c>
      <c r="G218" s="48">
        <v>0</v>
      </c>
      <c r="H218" s="48">
        <v>0</v>
      </c>
      <c r="I218" s="49">
        <v>0</v>
      </c>
      <c r="J218" s="49" t="str">
        <f t="shared" si="9"/>
        <v/>
      </c>
      <c r="K218" s="65">
        <v>1</v>
      </c>
    </row>
    <row r="219" spans="2:11" ht="12" hidden="1" customHeight="1">
      <c r="B219" s="46" t="s">
        <v>622</v>
      </c>
      <c r="C219" s="47" t="s">
        <v>623</v>
      </c>
      <c r="D219" s="47" t="s">
        <v>41</v>
      </c>
      <c r="E219" s="48" t="s">
        <v>183</v>
      </c>
      <c r="F219" s="48" t="s">
        <v>183</v>
      </c>
      <c r="G219" s="48">
        <v>42</v>
      </c>
      <c r="H219" s="48">
        <v>42</v>
      </c>
      <c r="I219" s="49">
        <v>3135692.07</v>
      </c>
      <c r="J219" s="49">
        <f t="shared" si="9"/>
        <v>74659.334999999992</v>
      </c>
      <c r="K219" s="65">
        <v>1</v>
      </c>
    </row>
    <row r="220" spans="2:11" ht="12" hidden="1" customHeight="1">
      <c r="B220" s="46" t="s">
        <v>624</v>
      </c>
      <c r="C220" s="47" t="s">
        <v>625</v>
      </c>
      <c r="D220" s="47" t="s">
        <v>175</v>
      </c>
      <c r="E220" s="48" t="s">
        <v>183</v>
      </c>
      <c r="F220" s="48" t="s">
        <v>184</v>
      </c>
      <c r="G220" s="48">
        <v>70</v>
      </c>
      <c r="H220" s="48">
        <v>70</v>
      </c>
      <c r="I220" s="49">
        <v>4934156.97</v>
      </c>
      <c r="J220" s="49">
        <f t="shared" si="9"/>
        <v>70487.956714285712</v>
      </c>
      <c r="K220" s="65">
        <v>1</v>
      </c>
    </row>
    <row r="221" spans="2:11" ht="12" hidden="1" customHeight="1">
      <c r="B221" s="46" t="s">
        <v>626</v>
      </c>
      <c r="C221" s="47" t="s">
        <v>627</v>
      </c>
      <c r="D221" s="47" t="s">
        <v>106</v>
      </c>
      <c r="E221" s="48" t="s">
        <v>185</v>
      </c>
      <c r="F221" s="48" t="s">
        <v>184</v>
      </c>
      <c r="G221" s="48">
        <v>100</v>
      </c>
      <c r="H221" s="48">
        <v>100</v>
      </c>
      <c r="I221" s="49">
        <v>9753137.3399999999</v>
      </c>
      <c r="J221" s="49">
        <f t="shared" si="9"/>
        <v>97531.373399999997</v>
      </c>
      <c r="K221" s="65">
        <v>1</v>
      </c>
    </row>
    <row r="222" spans="2:11" ht="12" hidden="1" customHeight="1">
      <c r="B222" s="46" t="s">
        <v>628</v>
      </c>
      <c r="C222" s="47" t="s">
        <v>629</v>
      </c>
      <c r="D222" s="47" t="s">
        <v>129</v>
      </c>
      <c r="E222" s="48" t="s">
        <v>185</v>
      </c>
      <c r="F222" s="48" t="s">
        <v>183</v>
      </c>
      <c r="G222" s="48">
        <v>47</v>
      </c>
      <c r="H222" s="48">
        <v>47</v>
      </c>
      <c r="I222" s="49">
        <v>3737002.96</v>
      </c>
      <c r="J222" s="49">
        <f t="shared" si="9"/>
        <v>79510.701276595748</v>
      </c>
      <c r="K222" s="65">
        <v>1</v>
      </c>
    </row>
    <row r="223" spans="2:11" ht="12" hidden="1" customHeight="1">
      <c r="B223" s="46" t="s">
        <v>630</v>
      </c>
      <c r="C223" s="47" t="s">
        <v>631</v>
      </c>
      <c r="D223" s="47" t="s">
        <v>120</v>
      </c>
      <c r="E223" s="48" t="s">
        <v>185</v>
      </c>
      <c r="F223" s="48" t="s">
        <v>184</v>
      </c>
      <c r="G223" s="48">
        <v>46</v>
      </c>
      <c r="H223" s="48">
        <v>46</v>
      </c>
      <c r="I223" s="49">
        <v>6060574.2999999998</v>
      </c>
      <c r="J223" s="49">
        <f t="shared" si="9"/>
        <v>131751.61521739131</v>
      </c>
      <c r="K223" s="65">
        <v>1</v>
      </c>
    </row>
    <row r="224" spans="2:11" ht="12" hidden="1" customHeight="1">
      <c r="B224" s="46" t="s">
        <v>632</v>
      </c>
      <c r="C224" s="47" t="s">
        <v>633</v>
      </c>
      <c r="D224" s="47" t="s">
        <v>127</v>
      </c>
      <c r="E224" s="48" t="s">
        <v>183</v>
      </c>
      <c r="F224" s="48" t="s">
        <v>183</v>
      </c>
      <c r="G224" s="48">
        <v>60</v>
      </c>
      <c r="H224" s="48">
        <v>60</v>
      </c>
      <c r="I224" s="49">
        <v>2293827.85</v>
      </c>
      <c r="J224" s="49">
        <f t="shared" si="9"/>
        <v>38230.464166666665</v>
      </c>
      <c r="K224" s="65">
        <v>1</v>
      </c>
    </row>
    <row r="225" spans="2:11" ht="12" hidden="1" customHeight="1">
      <c r="B225" s="46" t="s">
        <v>634</v>
      </c>
      <c r="C225" s="47" t="s">
        <v>635</v>
      </c>
      <c r="D225" s="47" t="s">
        <v>122</v>
      </c>
      <c r="E225" s="48" t="s">
        <v>183</v>
      </c>
      <c r="F225" s="48" t="s">
        <v>184</v>
      </c>
      <c r="G225" s="48">
        <v>29</v>
      </c>
      <c r="H225" s="48">
        <v>29</v>
      </c>
      <c r="I225" s="49">
        <v>2193669.9300000002</v>
      </c>
      <c r="J225" s="49">
        <f t="shared" si="9"/>
        <v>75643.790689655172</v>
      </c>
      <c r="K225" s="65">
        <v>1</v>
      </c>
    </row>
    <row r="226" spans="2:11" ht="12" hidden="1" customHeight="1">
      <c r="B226" s="46" t="s">
        <v>636</v>
      </c>
      <c r="C226" s="47" t="s">
        <v>637</v>
      </c>
      <c r="D226" s="47" t="s">
        <v>112</v>
      </c>
      <c r="E226" s="48" t="s">
        <v>185</v>
      </c>
      <c r="F226" s="48" t="s">
        <v>184</v>
      </c>
      <c r="G226" s="48">
        <v>86</v>
      </c>
      <c r="H226" s="48">
        <v>86</v>
      </c>
      <c r="I226" s="49">
        <v>17310506.609999999</v>
      </c>
      <c r="J226" s="49">
        <f t="shared" si="9"/>
        <v>201284.96058139534</v>
      </c>
      <c r="K226" s="65">
        <v>1</v>
      </c>
    </row>
    <row r="227" spans="2:11" ht="12" hidden="1" customHeight="1">
      <c r="B227" s="46" t="s">
        <v>638</v>
      </c>
      <c r="C227" s="47" t="s">
        <v>639</v>
      </c>
      <c r="D227" s="47" t="s">
        <v>152</v>
      </c>
      <c r="E227" s="48" t="s">
        <v>183</v>
      </c>
      <c r="F227" s="48" t="s">
        <v>184</v>
      </c>
      <c r="G227" s="48">
        <v>25</v>
      </c>
      <c r="H227" s="48">
        <v>25</v>
      </c>
      <c r="I227" s="49">
        <v>2090076.42</v>
      </c>
      <c r="J227" s="49">
        <f t="shared" si="9"/>
        <v>83603.056799999991</v>
      </c>
      <c r="K227" s="65">
        <v>1</v>
      </c>
    </row>
    <row r="228" spans="2:11" ht="12" hidden="1" customHeight="1">
      <c r="B228" s="46" t="s">
        <v>640</v>
      </c>
      <c r="C228" s="47" t="s">
        <v>641</v>
      </c>
      <c r="D228" s="47" t="s">
        <v>112</v>
      </c>
      <c r="E228" s="48" t="s">
        <v>185</v>
      </c>
      <c r="F228" s="48" t="s">
        <v>184</v>
      </c>
      <c r="G228" s="48">
        <v>50</v>
      </c>
      <c r="H228" s="48">
        <v>50</v>
      </c>
      <c r="I228" s="49">
        <v>5388424.7699999996</v>
      </c>
      <c r="J228" s="49">
        <f t="shared" si="9"/>
        <v>107768.49539999999</v>
      </c>
      <c r="K228" s="65">
        <v>1</v>
      </c>
    </row>
    <row r="229" spans="2:11" ht="12" hidden="1" customHeight="1">
      <c r="B229" s="46" t="s">
        <v>642</v>
      </c>
      <c r="C229" s="47" t="s">
        <v>643</v>
      </c>
      <c r="D229" s="47" t="s">
        <v>28</v>
      </c>
      <c r="E229" s="48" t="s">
        <v>183</v>
      </c>
      <c r="F229" s="48" t="s">
        <v>183</v>
      </c>
      <c r="G229" s="48">
        <v>45</v>
      </c>
      <c r="H229" s="48">
        <v>45</v>
      </c>
      <c r="I229" s="49">
        <v>1393215.72</v>
      </c>
      <c r="J229" s="49">
        <f t="shared" si="9"/>
        <v>30960.349333333332</v>
      </c>
      <c r="K229" s="65">
        <v>1</v>
      </c>
    </row>
    <row r="230" spans="2:11" ht="12" customHeight="1">
      <c r="B230" s="46" t="s">
        <v>644</v>
      </c>
      <c r="C230" s="47" t="s">
        <v>645</v>
      </c>
      <c r="D230" s="47" t="s">
        <v>128</v>
      </c>
      <c r="E230" s="48" t="s">
        <v>185</v>
      </c>
      <c r="F230" s="48" t="s">
        <v>184</v>
      </c>
      <c r="G230" s="48">
        <v>87</v>
      </c>
      <c r="H230" s="48">
        <v>89</v>
      </c>
      <c r="I230" s="49">
        <v>18240723.710000001</v>
      </c>
      <c r="J230" s="49">
        <f t="shared" si="9"/>
        <v>209663.49091954023</v>
      </c>
      <c r="K230" s="65">
        <v>1</v>
      </c>
    </row>
    <row r="231" spans="2:11" ht="12" hidden="1" customHeight="1">
      <c r="B231" s="46" t="s">
        <v>646</v>
      </c>
      <c r="C231" s="47" t="s">
        <v>647</v>
      </c>
      <c r="D231" s="47" t="s">
        <v>149</v>
      </c>
      <c r="E231" s="48" t="s">
        <v>183</v>
      </c>
      <c r="F231" s="48" t="s">
        <v>183</v>
      </c>
      <c r="G231" s="48">
        <v>76</v>
      </c>
      <c r="H231" s="48">
        <v>76</v>
      </c>
      <c r="I231" s="49">
        <v>4284646.38</v>
      </c>
      <c r="J231" s="49">
        <f t="shared" si="9"/>
        <v>56376.926052631577</v>
      </c>
      <c r="K231" s="65">
        <v>1</v>
      </c>
    </row>
    <row r="232" spans="2:11" ht="12" hidden="1" customHeight="1">
      <c r="B232" s="46" t="s">
        <v>648</v>
      </c>
      <c r="C232" s="47" t="s">
        <v>649</v>
      </c>
      <c r="D232" s="47" t="s">
        <v>155</v>
      </c>
      <c r="E232" s="48" t="s">
        <v>185</v>
      </c>
      <c r="F232" s="48" t="s">
        <v>184</v>
      </c>
      <c r="G232" s="48">
        <v>33</v>
      </c>
      <c r="H232" s="48">
        <v>33</v>
      </c>
      <c r="I232" s="49">
        <v>3073726.72</v>
      </c>
      <c r="J232" s="49">
        <f t="shared" si="9"/>
        <v>93143.233939393947</v>
      </c>
      <c r="K232" s="65">
        <v>1</v>
      </c>
    </row>
    <row r="233" spans="2:11" ht="12" hidden="1" customHeight="1">
      <c r="B233" s="46" t="s">
        <v>650</v>
      </c>
      <c r="C233" s="47" t="s">
        <v>651</v>
      </c>
      <c r="D233" s="47" t="s">
        <v>155</v>
      </c>
      <c r="E233" s="48" t="s">
        <v>185</v>
      </c>
      <c r="F233" s="48" t="s">
        <v>184</v>
      </c>
      <c r="G233" s="48">
        <v>40</v>
      </c>
      <c r="H233" s="48">
        <v>40</v>
      </c>
      <c r="I233" s="49">
        <v>2058995.52</v>
      </c>
      <c r="J233" s="49">
        <f t="shared" si="9"/>
        <v>51474.887999999999</v>
      </c>
      <c r="K233" s="65">
        <v>1</v>
      </c>
    </row>
    <row r="234" spans="2:11" ht="12" hidden="1" customHeight="1">
      <c r="B234" s="46" t="s">
        <v>652</v>
      </c>
      <c r="C234" s="47" t="s">
        <v>653</v>
      </c>
      <c r="D234" s="47" t="s">
        <v>138</v>
      </c>
      <c r="E234" s="48" t="s">
        <v>183</v>
      </c>
      <c r="F234" s="48" t="s">
        <v>184</v>
      </c>
      <c r="G234" s="48">
        <v>100</v>
      </c>
      <c r="H234" s="48">
        <v>100</v>
      </c>
      <c r="I234" s="49">
        <v>6888359.4400000004</v>
      </c>
      <c r="J234" s="49">
        <f t="shared" si="9"/>
        <v>68883.594400000002</v>
      </c>
      <c r="K234" s="65">
        <v>1</v>
      </c>
    </row>
    <row r="235" spans="2:11" ht="12" hidden="1" customHeight="1">
      <c r="B235" s="46" t="s">
        <v>654</v>
      </c>
      <c r="C235" s="47" t="s">
        <v>655</v>
      </c>
      <c r="D235" s="47" t="s">
        <v>138</v>
      </c>
      <c r="E235" s="48" t="s">
        <v>185</v>
      </c>
      <c r="F235" s="48" t="s">
        <v>184</v>
      </c>
      <c r="G235" s="48">
        <v>0</v>
      </c>
      <c r="H235" s="48">
        <v>0</v>
      </c>
      <c r="I235" s="49">
        <v>0</v>
      </c>
      <c r="J235" s="49" t="str">
        <f t="shared" si="9"/>
        <v/>
      </c>
      <c r="K235" s="65">
        <v>1</v>
      </c>
    </row>
    <row r="236" spans="2:11" ht="12" hidden="1" customHeight="1">
      <c r="B236" s="46" t="s">
        <v>654</v>
      </c>
      <c r="C236" s="47" t="s">
        <v>655</v>
      </c>
      <c r="D236" s="47" t="s">
        <v>138</v>
      </c>
      <c r="E236" s="48" t="s">
        <v>185</v>
      </c>
      <c r="F236" s="48" t="s">
        <v>184</v>
      </c>
      <c r="G236" s="48">
        <v>77</v>
      </c>
      <c r="H236" s="48">
        <v>77</v>
      </c>
      <c r="I236" s="49">
        <v>7594431.7199999997</v>
      </c>
      <c r="J236" s="49">
        <f t="shared" si="9"/>
        <v>98628.983376623379</v>
      </c>
      <c r="K236" s="65">
        <v>1</v>
      </c>
    </row>
    <row r="237" spans="2:11" ht="12" hidden="1" customHeight="1">
      <c r="B237" s="46" t="s">
        <v>656</v>
      </c>
      <c r="C237" s="47" t="s">
        <v>657</v>
      </c>
      <c r="D237" s="47" t="s">
        <v>133</v>
      </c>
      <c r="E237" s="48" t="s">
        <v>183</v>
      </c>
      <c r="F237" s="48" t="s">
        <v>184</v>
      </c>
      <c r="G237" s="48">
        <v>61</v>
      </c>
      <c r="H237" s="48">
        <v>61</v>
      </c>
      <c r="I237" s="49">
        <v>4096151.36</v>
      </c>
      <c r="J237" s="49">
        <f t="shared" si="9"/>
        <v>67150.022295081959</v>
      </c>
      <c r="K237" s="65">
        <v>1</v>
      </c>
    </row>
    <row r="238" spans="2:11" ht="12" hidden="1" customHeight="1">
      <c r="B238" s="46" t="s">
        <v>658</v>
      </c>
      <c r="C238" s="47" t="s">
        <v>659</v>
      </c>
      <c r="D238" s="47" t="s">
        <v>164</v>
      </c>
      <c r="E238" s="48" t="s">
        <v>185</v>
      </c>
      <c r="F238" s="48" t="s">
        <v>183</v>
      </c>
      <c r="G238" s="48">
        <v>16</v>
      </c>
      <c r="H238" s="48">
        <v>16</v>
      </c>
      <c r="I238" s="49">
        <v>1442829.95</v>
      </c>
      <c r="J238" s="49">
        <f t="shared" si="9"/>
        <v>90176.871874999997</v>
      </c>
      <c r="K238" s="65">
        <v>1</v>
      </c>
    </row>
    <row r="239" spans="2:11" ht="12" hidden="1" customHeight="1">
      <c r="B239" s="46" t="s">
        <v>660</v>
      </c>
      <c r="C239" s="47" t="s">
        <v>661</v>
      </c>
      <c r="D239" s="47" t="s">
        <v>114</v>
      </c>
      <c r="E239" s="48" t="s">
        <v>183</v>
      </c>
      <c r="F239" s="48" t="s">
        <v>183</v>
      </c>
      <c r="G239" s="48">
        <v>53</v>
      </c>
      <c r="H239" s="48">
        <v>53</v>
      </c>
      <c r="I239" s="49">
        <v>2685708.13</v>
      </c>
      <c r="J239" s="49">
        <f t="shared" si="9"/>
        <v>50673.738301886791</v>
      </c>
      <c r="K239" s="65">
        <v>1</v>
      </c>
    </row>
    <row r="240" spans="2:11" ht="12" hidden="1" customHeight="1">
      <c r="B240" s="46" t="s">
        <v>662</v>
      </c>
      <c r="C240" s="47" t="s">
        <v>663</v>
      </c>
      <c r="D240" s="47" t="s">
        <v>141</v>
      </c>
      <c r="E240" s="48" t="s">
        <v>183</v>
      </c>
      <c r="F240" s="48" t="s">
        <v>183</v>
      </c>
      <c r="G240" s="48">
        <v>25</v>
      </c>
      <c r="H240" s="48">
        <v>25</v>
      </c>
      <c r="I240" s="49">
        <v>1487875.61</v>
      </c>
      <c r="J240" s="49">
        <f t="shared" si="9"/>
        <v>59515.024400000002</v>
      </c>
      <c r="K240" s="65">
        <v>1</v>
      </c>
    </row>
    <row r="241" spans="2:11" ht="12" hidden="1" customHeight="1">
      <c r="B241" s="46" t="s">
        <v>664</v>
      </c>
      <c r="C241" s="47" t="s">
        <v>665</v>
      </c>
      <c r="D241" s="47" t="s">
        <v>141</v>
      </c>
      <c r="E241" s="48" t="s">
        <v>183</v>
      </c>
      <c r="F241" s="48" t="s">
        <v>183</v>
      </c>
      <c r="G241" s="48">
        <v>28</v>
      </c>
      <c r="H241" s="48">
        <v>28</v>
      </c>
      <c r="I241" s="49">
        <v>2175783.88</v>
      </c>
      <c r="J241" s="49">
        <f t="shared" si="9"/>
        <v>77706.567142857137</v>
      </c>
      <c r="K241" s="65">
        <v>1</v>
      </c>
    </row>
    <row r="242" spans="2:11" ht="12" hidden="1" customHeight="1">
      <c r="B242" s="46" t="s">
        <v>666</v>
      </c>
      <c r="C242" s="47" t="s">
        <v>667</v>
      </c>
      <c r="D242" s="47" t="s">
        <v>151</v>
      </c>
      <c r="E242" s="48" t="s">
        <v>185</v>
      </c>
      <c r="F242" s="48" t="s">
        <v>184</v>
      </c>
      <c r="G242" s="48">
        <v>35</v>
      </c>
      <c r="H242" s="48">
        <v>35</v>
      </c>
      <c r="I242" s="49">
        <v>4889811.42</v>
      </c>
      <c r="J242" s="49">
        <f t="shared" si="9"/>
        <v>139708.8977142857</v>
      </c>
      <c r="K242" s="65">
        <v>1</v>
      </c>
    </row>
    <row r="243" spans="2:11" ht="12" hidden="1" customHeight="1">
      <c r="B243" s="46" t="s">
        <v>668</v>
      </c>
      <c r="C243" s="47" t="s">
        <v>669</v>
      </c>
      <c r="D243" s="47" t="s">
        <v>121</v>
      </c>
      <c r="E243" s="48" t="s">
        <v>183</v>
      </c>
      <c r="F243" s="48" t="s">
        <v>183</v>
      </c>
      <c r="G243" s="48">
        <v>63</v>
      </c>
      <c r="H243" s="48">
        <v>63</v>
      </c>
      <c r="I243" s="49">
        <v>4968390.1500000004</v>
      </c>
      <c r="J243" s="49">
        <f t="shared" si="9"/>
        <v>78863.335714285713</v>
      </c>
      <c r="K243" s="65">
        <v>1</v>
      </c>
    </row>
    <row r="244" spans="2:11" ht="12" hidden="1" customHeight="1">
      <c r="B244" s="46" t="s">
        <v>670</v>
      </c>
      <c r="C244" s="47" t="s">
        <v>671</v>
      </c>
      <c r="D244" s="47" t="s">
        <v>121</v>
      </c>
      <c r="E244" s="48" t="s">
        <v>183</v>
      </c>
      <c r="F244" s="48" t="s">
        <v>183</v>
      </c>
      <c r="G244" s="48">
        <v>35</v>
      </c>
      <c r="H244" s="48">
        <v>35</v>
      </c>
      <c r="I244" s="49">
        <v>1708295.77</v>
      </c>
      <c r="J244" s="49">
        <f t="shared" si="9"/>
        <v>48808.45057142857</v>
      </c>
      <c r="K244" s="65">
        <v>1</v>
      </c>
    </row>
    <row r="245" spans="2:11" ht="12" hidden="1" customHeight="1">
      <c r="B245" s="46" t="s">
        <v>672</v>
      </c>
      <c r="C245" s="47" t="s">
        <v>673</v>
      </c>
      <c r="D245" s="47" t="s">
        <v>172</v>
      </c>
      <c r="E245" s="48" t="s">
        <v>183</v>
      </c>
      <c r="F245" s="48" t="s">
        <v>183</v>
      </c>
      <c r="G245" s="48">
        <v>33</v>
      </c>
      <c r="H245" s="48">
        <v>33</v>
      </c>
      <c r="I245" s="49">
        <v>743885.73</v>
      </c>
      <c r="J245" s="49">
        <f t="shared" si="9"/>
        <v>22541.991818181818</v>
      </c>
      <c r="K245" s="65">
        <v>1</v>
      </c>
    </row>
    <row r="246" spans="2:11" ht="12" hidden="1" customHeight="1">
      <c r="B246" s="46" t="s">
        <v>674</v>
      </c>
      <c r="C246" s="47" t="s">
        <v>675</v>
      </c>
      <c r="D246" s="47" t="s">
        <v>174</v>
      </c>
      <c r="E246" s="48" t="s">
        <v>183</v>
      </c>
      <c r="F246" s="48" t="s">
        <v>184</v>
      </c>
      <c r="G246" s="48">
        <v>36</v>
      </c>
      <c r="H246" s="48">
        <v>36</v>
      </c>
      <c r="I246" s="49">
        <v>2355933.71</v>
      </c>
      <c r="J246" s="49">
        <f t="shared" si="9"/>
        <v>65442.603055555555</v>
      </c>
      <c r="K246" s="65">
        <v>1</v>
      </c>
    </row>
    <row r="247" spans="2:11" ht="12" hidden="1" customHeight="1">
      <c r="B247" s="46" t="s">
        <v>676</v>
      </c>
      <c r="C247" s="47" t="s">
        <v>677</v>
      </c>
      <c r="D247" s="47" t="s">
        <v>122</v>
      </c>
      <c r="E247" s="48" t="s">
        <v>185</v>
      </c>
      <c r="F247" s="48" t="s">
        <v>184</v>
      </c>
      <c r="G247" s="48">
        <v>52</v>
      </c>
      <c r="H247" s="48">
        <v>52</v>
      </c>
      <c r="I247" s="49">
        <v>7488619.04</v>
      </c>
      <c r="J247" s="49">
        <f t="shared" si="9"/>
        <v>144011.90461538461</v>
      </c>
      <c r="K247" s="65">
        <v>1</v>
      </c>
    </row>
    <row r="248" spans="2:11" ht="12" hidden="1" customHeight="1">
      <c r="B248" s="46" t="s">
        <v>678</v>
      </c>
      <c r="C248" s="47" t="s">
        <v>679</v>
      </c>
      <c r="D248" s="47" t="s">
        <v>129</v>
      </c>
      <c r="E248" s="48" t="s">
        <v>185</v>
      </c>
      <c r="F248" s="48" t="s">
        <v>183</v>
      </c>
      <c r="G248" s="48">
        <v>40</v>
      </c>
      <c r="H248" s="48">
        <v>40</v>
      </c>
      <c r="I248" s="49">
        <v>2261508.9900000002</v>
      </c>
      <c r="J248" s="49">
        <f t="shared" si="9"/>
        <v>56537.724750000008</v>
      </c>
      <c r="K248" s="65">
        <v>1</v>
      </c>
    </row>
    <row r="249" spans="2:11" ht="12" hidden="1" customHeight="1">
      <c r="B249" s="46" t="s">
        <v>680</v>
      </c>
      <c r="C249" s="47" t="s">
        <v>681</v>
      </c>
      <c r="D249" s="47" t="s">
        <v>129</v>
      </c>
      <c r="E249" s="48" t="s">
        <v>183</v>
      </c>
      <c r="F249" s="48" t="s">
        <v>183</v>
      </c>
      <c r="G249" s="48">
        <v>50</v>
      </c>
      <c r="H249" s="48">
        <v>50</v>
      </c>
      <c r="I249" s="49">
        <v>1526803.95</v>
      </c>
      <c r="J249" s="49">
        <f t="shared" si="9"/>
        <v>30536.078999999998</v>
      </c>
      <c r="K249" s="65">
        <v>1</v>
      </c>
    </row>
    <row r="250" spans="2:11" ht="12" hidden="1" customHeight="1">
      <c r="B250" s="46" t="s">
        <v>682</v>
      </c>
      <c r="C250" s="47" t="s">
        <v>683</v>
      </c>
      <c r="D250" s="47" t="s">
        <v>151</v>
      </c>
      <c r="E250" s="48" t="s">
        <v>183</v>
      </c>
      <c r="F250" s="48" t="s">
        <v>184</v>
      </c>
      <c r="G250" s="48">
        <v>92</v>
      </c>
      <c r="H250" s="48">
        <v>92</v>
      </c>
      <c r="I250" s="49">
        <v>7060627.3099999996</v>
      </c>
      <c r="J250" s="49">
        <f t="shared" si="9"/>
        <v>76745.949021739129</v>
      </c>
      <c r="K250" s="65">
        <v>1</v>
      </c>
    </row>
    <row r="251" spans="2:11" ht="12" hidden="1" customHeight="1">
      <c r="B251" s="46" t="s">
        <v>684</v>
      </c>
      <c r="C251" s="47" t="s">
        <v>685</v>
      </c>
      <c r="D251" s="47" t="s">
        <v>164</v>
      </c>
      <c r="E251" s="48" t="s">
        <v>183</v>
      </c>
      <c r="F251" s="48" t="s">
        <v>183</v>
      </c>
      <c r="G251" s="48">
        <v>44</v>
      </c>
      <c r="H251" s="48">
        <v>44</v>
      </c>
      <c r="I251" s="49">
        <v>2817240.6</v>
      </c>
      <c r="J251" s="49">
        <f t="shared" si="9"/>
        <v>64028.195454545457</v>
      </c>
      <c r="K251" s="65">
        <v>1</v>
      </c>
    </row>
    <row r="252" spans="2:11" ht="12" hidden="1" customHeight="1">
      <c r="B252" s="46" t="s">
        <v>686</v>
      </c>
      <c r="C252" s="47" t="s">
        <v>687</v>
      </c>
      <c r="D252" s="47" t="s">
        <v>129</v>
      </c>
      <c r="E252" s="48" t="s">
        <v>183</v>
      </c>
      <c r="F252" s="48" t="s">
        <v>183</v>
      </c>
      <c r="G252" s="48">
        <v>35</v>
      </c>
      <c r="H252" s="48">
        <v>35</v>
      </c>
      <c r="I252" s="49">
        <v>2831311.06</v>
      </c>
      <c r="J252" s="49">
        <f t="shared" si="9"/>
        <v>80894.601714285716</v>
      </c>
      <c r="K252" s="65">
        <v>1</v>
      </c>
    </row>
    <row r="253" spans="2:11" ht="12" hidden="1" customHeight="1">
      <c r="B253" s="46" t="s">
        <v>688</v>
      </c>
      <c r="C253" s="47" t="s">
        <v>689</v>
      </c>
      <c r="D253" s="47" t="s">
        <v>152</v>
      </c>
      <c r="E253" s="48" t="s">
        <v>185</v>
      </c>
      <c r="F253" s="48" t="s">
        <v>184</v>
      </c>
      <c r="G253" s="48">
        <v>38</v>
      </c>
      <c r="H253" s="48">
        <v>38</v>
      </c>
      <c r="I253" s="49">
        <v>5110015.01</v>
      </c>
      <c r="J253" s="49">
        <f t="shared" si="9"/>
        <v>134474.07921052631</v>
      </c>
      <c r="K253" s="65">
        <v>1</v>
      </c>
    </row>
    <row r="254" spans="2:11" ht="12" hidden="1" customHeight="1">
      <c r="B254" s="46" t="s">
        <v>690</v>
      </c>
      <c r="C254" s="47" t="s">
        <v>691</v>
      </c>
      <c r="D254" s="47" t="s">
        <v>172</v>
      </c>
      <c r="E254" s="48" t="s">
        <v>183</v>
      </c>
      <c r="F254" s="48" t="s">
        <v>183</v>
      </c>
      <c r="G254" s="48">
        <v>10</v>
      </c>
      <c r="H254" s="48">
        <v>10</v>
      </c>
      <c r="I254" s="49">
        <v>0</v>
      </c>
      <c r="J254" s="49" t="str">
        <f t="shared" si="9"/>
        <v/>
      </c>
      <c r="K254" s="65">
        <v>1</v>
      </c>
    </row>
    <row r="255" spans="2:11" ht="12" hidden="1" customHeight="1">
      <c r="B255" s="46" t="s">
        <v>692</v>
      </c>
      <c r="C255" s="47" t="s">
        <v>693</v>
      </c>
      <c r="D255" s="47" t="s">
        <v>124</v>
      </c>
      <c r="E255" s="48" t="s">
        <v>185</v>
      </c>
      <c r="F255" s="48" t="s">
        <v>184</v>
      </c>
      <c r="G255" s="48">
        <v>50</v>
      </c>
      <c r="H255" s="48">
        <v>50</v>
      </c>
      <c r="I255" s="49">
        <v>6400706.8600000003</v>
      </c>
      <c r="J255" s="49">
        <f t="shared" si="9"/>
        <v>128014.13720000001</v>
      </c>
      <c r="K255" s="65">
        <v>1</v>
      </c>
    </row>
    <row r="256" spans="2:11" ht="12" hidden="1" customHeight="1">
      <c r="B256" s="46" t="s">
        <v>694</v>
      </c>
      <c r="C256" s="47" t="s">
        <v>695</v>
      </c>
      <c r="D256" s="47" t="s">
        <v>137</v>
      </c>
      <c r="E256" s="48" t="s">
        <v>185</v>
      </c>
      <c r="F256" s="48" t="s">
        <v>184</v>
      </c>
      <c r="G256" s="48">
        <v>49</v>
      </c>
      <c r="H256" s="48">
        <v>49</v>
      </c>
      <c r="I256" s="49">
        <v>4918211.17</v>
      </c>
      <c r="J256" s="49">
        <f t="shared" si="9"/>
        <v>100371.65653061225</v>
      </c>
      <c r="K256" s="65">
        <v>1</v>
      </c>
    </row>
    <row r="257" spans="2:11" ht="12" hidden="1" customHeight="1">
      <c r="B257" s="46" t="s">
        <v>696</v>
      </c>
      <c r="C257" s="47" t="s">
        <v>697</v>
      </c>
      <c r="D257" s="47" t="s">
        <v>129</v>
      </c>
      <c r="E257" s="48" t="s">
        <v>185</v>
      </c>
      <c r="F257" s="48" t="s">
        <v>183</v>
      </c>
      <c r="G257" s="48">
        <v>60</v>
      </c>
      <c r="H257" s="48">
        <v>60</v>
      </c>
      <c r="I257" s="49">
        <v>5631787.8200000003</v>
      </c>
      <c r="J257" s="49">
        <f t="shared" si="9"/>
        <v>93863.130333333334</v>
      </c>
      <c r="K257" s="65">
        <v>1</v>
      </c>
    </row>
    <row r="258" spans="2:11" ht="12" hidden="1" customHeight="1">
      <c r="B258" s="46" t="s">
        <v>698</v>
      </c>
      <c r="C258" s="47" t="s">
        <v>699</v>
      </c>
      <c r="D258" s="47" t="s">
        <v>168</v>
      </c>
      <c r="E258" s="48" t="s">
        <v>185</v>
      </c>
      <c r="F258" s="48" t="s">
        <v>183</v>
      </c>
      <c r="G258" s="48">
        <v>18</v>
      </c>
      <c r="H258" s="48">
        <v>22</v>
      </c>
      <c r="I258" s="49">
        <v>496980.14</v>
      </c>
      <c r="J258" s="49">
        <f t="shared" si="9"/>
        <v>27610.007777777777</v>
      </c>
      <c r="K258" s="65">
        <v>1</v>
      </c>
    </row>
    <row r="259" spans="2:11" ht="12" hidden="1" customHeight="1">
      <c r="B259" s="46" t="s">
        <v>700</v>
      </c>
      <c r="C259" s="47" t="s">
        <v>701</v>
      </c>
      <c r="D259" s="47" t="s">
        <v>106</v>
      </c>
      <c r="E259" s="48" t="s">
        <v>185</v>
      </c>
      <c r="F259" s="48" t="s">
        <v>184</v>
      </c>
      <c r="G259" s="48">
        <v>85</v>
      </c>
      <c r="H259" s="48">
        <v>85</v>
      </c>
      <c r="I259" s="49">
        <v>9602980.5</v>
      </c>
      <c r="J259" s="49">
        <f t="shared" si="9"/>
        <v>112976.24117647059</v>
      </c>
      <c r="K259" s="65">
        <v>1</v>
      </c>
    </row>
    <row r="260" spans="2:11" ht="12" hidden="1" customHeight="1">
      <c r="B260" s="46" t="s">
        <v>702</v>
      </c>
      <c r="C260" s="47" t="s">
        <v>703</v>
      </c>
      <c r="D260" s="47" t="s">
        <v>116</v>
      </c>
      <c r="E260" s="48" t="s">
        <v>185</v>
      </c>
      <c r="F260" s="48" t="s">
        <v>184</v>
      </c>
      <c r="G260" s="48">
        <v>55</v>
      </c>
      <c r="H260" s="48">
        <v>55</v>
      </c>
      <c r="I260" s="49">
        <v>7283346.3300000001</v>
      </c>
      <c r="J260" s="49">
        <f t="shared" si="9"/>
        <v>132424.47872727274</v>
      </c>
      <c r="K260" s="65">
        <v>1</v>
      </c>
    </row>
    <row r="261" spans="2:11" ht="12" hidden="1" customHeight="1">
      <c r="B261" s="46" t="s">
        <v>704</v>
      </c>
      <c r="C261" s="47" t="s">
        <v>705</v>
      </c>
      <c r="D261" s="47" t="s">
        <v>154</v>
      </c>
      <c r="E261" s="48" t="s">
        <v>185</v>
      </c>
      <c r="F261" s="48" t="s">
        <v>184</v>
      </c>
      <c r="G261" s="48">
        <v>30</v>
      </c>
      <c r="H261" s="48">
        <v>48</v>
      </c>
      <c r="I261" s="49">
        <v>2434581.0499999998</v>
      </c>
      <c r="J261" s="49">
        <f t="shared" ref="J261:J324" si="10">IF(I261&gt;0,I261/G261,"")</f>
        <v>81152.70166666666</v>
      </c>
      <c r="K261" s="65">
        <v>1</v>
      </c>
    </row>
    <row r="262" spans="2:11" ht="12" hidden="1" customHeight="1">
      <c r="B262" s="46" t="s">
        <v>706</v>
      </c>
      <c r="C262" s="47" t="s">
        <v>707</v>
      </c>
      <c r="D262" s="47" t="s">
        <v>147</v>
      </c>
      <c r="E262" s="48" t="s">
        <v>185</v>
      </c>
      <c r="F262" s="48" t="s">
        <v>184</v>
      </c>
      <c r="G262" s="48">
        <v>82</v>
      </c>
      <c r="H262" s="48">
        <v>82</v>
      </c>
      <c r="I262" s="49">
        <v>10512080.82</v>
      </c>
      <c r="J262" s="49">
        <f t="shared" si="10"/>
        <v>128196.10756097561</v>
      </c>
      <c r="K262" s="65">
        <v>1</v>
      </c>
    </row>
    <row r="263" spans="2:11" ht="12" hidden="1" customHeight="1">
      <c r="B263" s="46" t="s">
        <v>708</v>
      </c>
      <c r="C263" s="47" t="s">
        <v>709</v>
      </c>
      <c r="D263" s="47" t="s">
        <v>179</v>
      </c>
      <c r="E263" s="48" t="s">
        <v>185</v>
      </c>
      <c r="F263" s="48" t="s">
        <v>183</v>
      </c>
      <c r="G263" s="48">
        <v>31</v>
      </c>
      <c r="H263" s="48">
        <v>31</v>
      </c>
      <c r="I263" s="49">
        <v>3615135.37</v>
      </c>
      <c r="J263" s="49">
        <f t="shared" si="10"/>
        <v>116617.27</v>
      </c>
      <c r="K263" s="65">
        <v>1</v>
      </c>
    </row>
    <row r="264" spans="2:11" ht="12" hidden="1" customHeight="1">
      <c r="B264" s="46" t="s">
        <v>710</v>
      </c>
      <c r="C264" s="47" t="s">
        <v>711</v>
      </c>
      <c r="D264" s="47" t="s">
        <v>172</v>
      </c>
      <c r="E264" s="48" t="s">
        <v>183</v>
      </c>
      <c r="F264" s="48" t="s">
        <v>183</v>
      </c>
      <c r="G264" s="48">
        <v>35</v>
      </c>
      <c r="H264" s="48">
        <v>35</v>
      </c>
      <c r="I264" s="49">
        <v>2900169.87</v>
      </c>
      <c r="J264" s="49">
        <f t="shared" si="10"/>
        <v>82861.996285714282</v>
      </c>
      <c r="K264" s="65">
        <v>1</v>
      </c>
    </row>
    <row r="265" spans="2:11" ht="12" hidden="1" customHeight="1">
      <c r="B265" s="46" t="s">
        <v>712</v>
      </c>
      <c r="C265" s="47" t="s">
        <v>713</v>
      </c>
      <c r="D265" s="47" t="s">
        <v>149</v>
      </c>
      <c r="E265" s="48" t="s">
        <v>185</v>
      </c>
      <c r="F265" s="48" t="s">
        <v>183</v>
      </c>
      <c r="G265" s="48">
        <v>24</v>
      </c>
      <c r="H265" s="48">
        <v>24</v>
      </c>
      <c r="I265" s="49">
        <v>937517.2</v>
      </c>
      <c r="J265" s="49">
        <f t="shared" si="10"/>
        <v>39063.216666666667</v>
      </c>
      <c r="K265" s="65">
        <v>1</v>
      </c>
    </row>
    <row r="266" spans="2:11" ht="12" hidden="1" customHeight="1">
      <c r="B266" s="46" t="s">
        <v>714</v>
      </c>
      <c r="C266" s="47" t="s">
        <v>715</v>
      </c>
      <c r="D266" s="47" t="s">
        <v>146</v>
      </c>
      <c r="E266" s="48" t="s">
        <v>185</v>
      </c>
      <c r="F266" s="48" t="s">
        <v>184</v>
      </c>
      <c r="G266" s="48">
        <v>80</v>
      </c>
      <c r="H266" s="48">
        <v>80</v>
      </c>
      <c r="I266" s="49">
        <v>5812569.5999999996</v>
      </c>
      <c r="J266" s="49">
        <f t="shared" si="10"/>
        <v>72657.119999999995</v>
      </c>
      <c r="K266" s="65">
        <v>1</v>
      </c>
    </row>
    <row r="267" spans="2:11" ht="12" hidden="1" customHeight="1">
      <c r="B267" s="46" t="s">
        <v>716</v>
      </c>
      <c r="C267" s="47" t="s">
        <v>717</v>
      </c>
      <c r="D267" s="47" t="s">
        <v>166</v>
      </c>
      <c r="E267" s="48" t="s">
        <v>185</v>
      </c>
      <c r="F267" s="48" t="s">
        <v>184</v>
      </c>
      <c r="G267" s="48">
        <v>30</v>
      </c>
      <c r="H267" s="48">
        <v>30</v>
      </c>
      <c r="I267" s="49">
        <v>3826489.09</v>
      </c>
      <c r="J267" s="49">
        <f t="shared" si="10"/>
        <v>127549.63633333333</v>
      </c>
      <c r="K267" s="65">
        <v>1</v>
      </c>
    </row>
    <row r="268" spans="2:11" ht="12" hidden="1" customHeight="1">
      <c r="B268" s="46" t="s">
        <v>718</v>
      </c>
      <c r="C268" s="47" t="s">
        <v>719</v>
      </c>
      <c r="D268" s="47" t="s">
        <v>145</v>
      </c>
      <c r="E268" s="48" t="s">
        <v>185</v>
      </c>
      <c r="F268" s="48" t="s">
        <v>184</v>
      </c>
      <c r="G268" s="48">
        <v>70</v>
      </c>
      <c r="H268" s="48">
        <v>103</v>
      </c>
      <c r="I268" s="49">
        <v>9256871.3399999999</v>
      </c>
      <c r="J268" s="49">
        <f t="shared" si="10"/>
        <v>132241.01914285714</v>
      </c>
      <c r="K268" s="65">
        <v>1</v>
      </c>
    </row>
    <row r="269" spans="2:11" ht="12" hidden="1" customHeight="1">
      <c r="B269" s="46" t="s">
        <v>720</v>
      </c>
      <c r="C269" s="47" t="s">
        <v>721</v>
      </c>
      <c r="D269" s="47" t="s">
        <v>142</v>
      </c>
      <c r="E269" s="48" t="s">
        <v>183</v>
      </c>
      <c r="F269" s="48" t="s">
        <v>184</v>
      </c>
      <c r="G269" s="48">
        <v>90</v>
      </c>
      <c r="H269" s="48">
        <v>100</v>
      </c>
      <c r="I269" s="49">
        <v>4419469.9800000004</v>
      </c>
      <c r="J269" s="49">
        <f t="shared" si="10"/>
        <v>49105.222000000002</v>
      </c>
      <c r="K269" s="65">
        <v>1</v>
      </c>
    </row>
    <row r="270" spans="2:11" ht="12" hidden="1" customHeight="1">
      <c r="B270" s="46" t="s">
        <v>722</v>
      </c>
      <c r="C270" s="47" t="s">
        <v>723</v>
      </c>
      <c r="D270" s="47" t="s">
        <v>30</v>
      </c>
      <c r="E270" s="48" t="s">
        <v>183</v>
      </c>
      <c r="F270" s="48" t="s">
        <v>183</v>
      </c>
      <c r="G270" s="48">
        <v>40</v>
      </c>
      <c r="H270" s="48">
        <v>40</v>
      </c>
      <c r="I270" s="49">
        <v>1514346.66</v>
      </c>
      <c r="J270" s="49">
        <f t="shared" si="10"/>
        <v>37858.666499999999</v>
      </c>
      <c r="K270" s="65">
        <v>1</v>
      </c>
    </row>
    <row r="271" spans="2:11" ht="12" hidden="1" customHeight="1">
      <c r="B271" s="46" t="s">
        <v>724</v>
      </c>
      <c r="C271" s="47" t="s">
        <v>725</v>
      </c>
      <c r="D271" s="47" t="s">
        <v>109</v>
      </c>
      <c r="E271" s="48" t="s">
        <v>185</v>
      </c>
      <c r="F271" s="48" t="s">
        <v>184</v>
      </c>
      <c r="G271" s="48">
        <v>50</v>
      </c>
      <c r="H271" s="48">
        <v>50</v>
      </c>
      <c r="I271" s="49">
        <v>3764948.12</v>
      </c>
      <c r="J271" s="49">
        <f t="shared" si="10"/>
        <v>75298.962400000004</v>
      </c>
      <c r="K271" s="65">
        <v>1</v>
      </c>
    </row>
    <row r="272" spans="2:11" ht="12" hidden="1" customHeight="1">
      <c r="B272" s="46" t="s">
        <v>726</v>
      </c>
      <c r="C272" s="47" t="s">
        <v>727</v>
      </c>
      <c r="D272" s="47" t="s">
        <v>145</v>
      </c>
      <c r="E272" s="48" t="s">
        <v>183</v>
      </c>
      <c r="F272" s="48" t="s">
        <v>184</v>
      </c>
      <c r="G272" s="48">
        <v>56</v>
      </c>
      <c r="H272" s="48">
        <v>56</v>
      </c>
      <c r="I272" s="49">
        <v>2607108.29</v>
      </c>
      <c r="J272" s="49">
        <f t="shared" si="10"/>
        <v>46555.505178571431</v>
      </c>
      <c r="K272" s="65">
        <v>1</v>
      </c>
    </row>
    <row r="273" spans="2:11" ht="12" hidden="1" customHeight="1">
      <c r="B273" s="46" t="s">
        <v>728</v>
      </c>
      <c r="C273" s="47" t="s">
        <v>729</v>
      </c>
      <c r="D273" s="47" t="s">
        <v>26</v>
      </c>
      <c r="E273" s="48" t="s">
        <v>183</v>
      </c>
      <c r="F273" s="48" t="s">
        <v>183</v>
      </c>
      <c r="G273" s="48">
        <v>40</v>
      </c>
      <c r="H273" s="48">
        <v>40</v>
      </c>
      <c r="I273" s="49">
        <v>2535854.88</v>
      </c>
      <c r="J273" s="49">
        <f t="shared" si="10"/>
        <v>63396.371999999996</v>
      </c>
      <c r="K273" s="65">
        <v>1</v>
      </c>
    </row>
    <row r="274" spans="2:11" ht="12" hidden="1" customHeight="1">
      <c r="B274" s="46" t="s">
        <v>730</v>
      </c>
      <c r="C274" s="47" t="s">
        <v>731</v>
      </c>
      <c r="D274" s="47" t="s">
        <v>26</v>
      </c>
      <c r="E274" s="48" t="s">
        <v>183</v>
      </c>
      <c r="F274" s="48" t="s">
        <v>183</v>
      </c>
      <c r="G274" s="48">
        <v>59</v>
      </c>
      <c r="H274" s="48">
        <v>59</v>
      </c>
      <c r="I274" s="49">
        <v>4630077.88</v>
      </c>
      <c r="J274" s="49">
        <f t="shared" si="10"/>
        <v>78475.896271186444</v>
      </c>
      <c r="K274" s="65">
        <v>1</v>
      </c>
    </row>
    <row r="275" spans="2:11" ht="12" hidden="1" customHeight="1">
      <c r="B275" s="46" t="s">
        <v>732</v>
      </c>
      <c r="C275" s="47" t="s">
        <v>733</v>
      </c>
      <c r="D275" s="47" t="s">
        <v>151</v>
      </c>
      <c r="E275" s="48" t="s">
        <v>185</v>
      </c>
      <c r="F275" s="48" t="s">
        <v>184</v>
      </c>
      <c r="G275" s="48">
        <v>75</v>
      </c>
      <c r="H275" s="48">
        <v>75</v>
      </c>
      <c r="I275" s="49">
        <v>11891056.140000001</v>
      </c>
      <c r="J275" s="49">
        <f t="shared" si="10"/>
        <v>158547.41520000002</v>
      </c>
      <c r="K275" s="65">
        <v>1</v>
      </c>
    </row>
    <row r="276" spans="2:11" ht="12" hidden="1" customHeight="1">
      <c r="B276" s="46" t="s">
        <v>734</v>
      </c>
      <c r="C276" s="47" t="s">
        <v>735</v>
      </c>
      <c r="D276" s="47" t="s">
        <v>164</v>
      </c>
      <c r="E276" s="48" t="s">
        <v>185</v>
      </c>
      <c r="F276" s="48" t="s">
        <v>183</v>
      </c>
      <c r="G276" s="48">
        <v>20</v>
      </c>
      <c r="H276" s="48">
        <v>20</v>
      </c>
      <c r="I276" s="49">
        <v>1430426.18</v>
      </c>
      <c r="J276" s="49">
        <f t="shared" si="10"/>
        <v>71521.308999999994</v>
      </c>
      <c r="K276" s="65">
        <v>1</v>
      </c>
    </row>
    <row r="277" spans="2:11" ht="12" hidden="1" customHeight="1">
      <c r="B277" s="46" t="s">
        <v>736</v>
      </c>
      <c r="C277" s="47" t="s">
        <v>737</v>
      </c>
      <c r="D277" s="47" t="s">
        <v>124</v>
      </c>
      <c r="E277" s="48" t="s">
        <v>185</v>
      </c>
      <c r="F277" s="48" t="s">
        <v>184</v>
      </c>
      <c r="G277" s="48">
        <v>45</v>
      </c>
      <c r="H277" s="48">
        <v>45</v>
      </c>
      <c r="I277" s="49">
        <v>1636708.17</v>
      </c>
      <c r="J277" s="49">
        <f t="shared" si="10"/>
        <v>36371.292666666668</v>
      </c>
      <c r="K277" s="65">
        <v>1</v>
      </c>
    </row>
    <row r="278" spans="2:11" ht="12" hidden="1" customHeight="1">
      <c r="B278" s="46" t="s">
        <v>738</v>
      </c>
      <c r="C278" s="47" t="s">
        <v>739</v>
      </c>
      <c r="D278" s="47" t="s">
        <v>135</v>
      </c>
      <c r="E278" s="48" t="s">
        <v>185</v>
      </c>
      <c r="F278" s="48" t="s">
        <v>184</v>
      </c>
      <c r="G278" s="48">
        <v>70</v>
      </c>
      <c r="H278" s="48">
        <v>73</v>
      </c>
      <c r="I278" s="49">
        <v>11872477.02</v>
      </c>
      <c r="J278" s="49">
        <f t="shared" si="10"/>
        <v>169606.81457142858</v>
      </c>
      <c r="K278" s="65">
        <v>1</v>
      </c>
    </row>
    <row r="279" spans="2:11" ht="12" hidden="1" customHeight="1">
      <c r="B279" s="46" t="s">
        <v>740</v>
      </c>
      <c r="C279" s="47" t="s">
        <v>741</v>
      </c>
      <c r="D279" s="47" t="s">
        <v>147</v>
      </c>
      <c r="E279" s="48" t="s">
        <v>183</v>
      </c>
      <c r="F279" s="48" t="s">
        <v>184</v>
      </c>
      <c r="G279" s="48">
        <v>90</v>
      </c>
      <c r="H279" s="48">
        <v>90</v>
      </c>
      <c r="I279" s="49">
        <v>5752072.5899999999</v>
      </c>
      <c r="J279" s="49">
        <f t="shared" si="10"/>
        <v>63911.917666666668</v>
      </c>
      <c r="K279" s="65">
        <v>1</v>
      </c>
    </row>
    <row r="280" spans="2:11" ht="12" hidden="1" customHeight="1">
      <c r="B280" s="46" t="s">
        <v>742</v>
      </c>
      <c r="C280" s="47" t="s">
        <v>743</v>
      </c>
      <c r="D280" s="47" t="s">
        <v>137</v>
      </c>
      <c r="E280" s="48" t="s">
        <v>183</v>
      </c>
      <c r="F280" s="48" t="s">
        <v>184</v>
      </c>
      <c r="G280" s="48">
        <v>25</v>
      </c>
      <c r="H280" s="48">
        <v>25</v>
      </c>
      <c r="I280" s="49">
        <v>652630.18000000005</v>
      </c>
      <c r="J280" s="49">
        <f t="shared" si="10"/>
        <v>26105.207200000001</v>
      </c>
      <c r="K280" s="65">
        <v>1</v>
      </c>
    </row>
    <row r="281" spans="2:11" ht="12" hidden="1" customHeight="1">
      <c r="B281" s="46" t="s">
        <v>744</v>
      </c>
      <c r="C281" s="47" t="s">
        <v>745</v>
      </c>
      <c r="D281" s="47" t="s">
        <v>148</v>
      </c>
      <c r="E281" s="48" t="s">
        <v>183</v>
      </c>
      <c r="F281" s="48" t="s">
        <v>183</v>
      </c>
      <c r="G281" s="48">
        <v>20</v>
      </c>
      <c r="H281" s="48">
        <v>20</v>
      </c>
      <c r="I281" s="49">
        <v>975545.63</v>
      </c>
      <c r="J281" s="49">
        <f t="shared" si="10"/>
        <v>48777.281499999997</v>
      </c>
      <c r="K281" s="65">
        <v>1</v>
      </c>
    </row>
    <row r="282" spans="2:11" ht="12" hidden="1" customHeight="1">
      <c r="B282" s="46" t="s">
        <v>746</v>
      </c>
      <c r="C282" s="47" t="s">
        <v>747</v>
      </c>
      <c r="D282" s="47" t="s">
        <v>146</v>
      </c>
      <c r="E282" s="48" t="s">
        <v>185</v>
      </c>
      <c r="F282" s="48" t="s">
        <v>184</v>
      </c>
      <c r="G282" s="48">
        <v>90</v>
      </c>
      <c r="H282" s="48">
        <v>90</v>
      </c>
      <c r="I282" s="49">
        <v>13727219.439999999</v>
      </c>
      <c r="J282" s="49">
        <f t="shared" si="10"/>
        <v>152524.66044444445</v>
      </c>
      <c r="K282" s="65">
        <v>1</v>
      </c>
    </row>
    <row r="283" spans="2:11" ht="12" hidden="1" customHeight="1">
      <c r="B283" s="46" t="s">
        <v>748</v>
      </c>
      <c r="C283" s="47" t="s">
        <v>749</v>
      </c>
      <c r="D283" s="47" t="s">
        <v>105</v>
      </c>
      <c r="E283" s="48" t="s">
        <v>183</v>
      </c>
      <c r="F283" s="48" t="s">
        <v>183</v>
      </c>
      <c r="G283" s="48">
        <v>32</v>
      </c>
      <c r="H283" s="48">
        <v>32</v>
      </c>
      <c r="I283" s="49">
        <v>1007814.87</v>
      </c>
      <c r="J283" s="49">
        <f t="shared" si="10"/>
        <v>31494.2146875</v>
      </c>
      <c r="K283" s="65">
        <v>1</v>
      </c>
    </row>
    <row r="284" spans="2:11" ht="12" hidden="1" customHeight="1">
      <c r="B284" s="46" t="s">
        <v>750</v>
      </c>
      <c r="C284" s="47" t="s">
        <v>751</v>
      </c>
      <c r="D284" s="47" t="s">
        <v>109</v>
      </c>
      <c r="E284" s="48" t="s">
        <v>185</v>
      </c>
      <c r="F284" s="48" t="s">
        <v>184</v>
      </c>
      <c r="G284" s="48">
        <v>48</v>
      </c>
      <c r="H284" s="48">
        <v>60</v>
      </c>
      <c r="I284" s="49">
        <v>4485780.4800000004</v>
      </c>
      <c r="J284" s="49">
        <f t="shared" si="10"/>
        <v>93453.760000000009</v>
      </c>
      <c r="K284" s="65">
        <v>1</v>
      </c>
    </row>
    <row r="285" spans="2:11" ht="12" hidden="1" customHeight="1">
      <c r="B285" s="46" t="s">
        <v>752</v>
      </c>
      <c r="C285" s="47" t="s">
        <v>753</v>
      </c>
      <c r="D285" s="47" t="s">
        <v>148</v>
      </c>
      <c r="E285" s="48" t="s">
        <v>185</v>
      </c>
      <c r="F285" s="48" t="s">
        <v>183</v>
      </c>
      <c r="G285" s="48">
        <v>75</v>
      </c>
      <c r="H285" s="48">
        <v>75</v>
      </c>
      <c r="I285" s="49">
        <v>9701614.5099999998</v>
      </c>
      <c r="J285" s="49">
        <f t="shared" si="10"/>
        <v>129354.86013333334</v>
      </c>
      <c r="K285" s="65">
        <v>1</v>
      </c>
    </row>
    <row r="286" spans="2:11" ht="12" hidden="1" customHeight="1">
      <c r="B286" s="46" t="s">
        <v>754</v>
      </c>
      <c r="C286" s="47" t="s">
        <v>755</v>
      </c>
      <c r="D286" s="47" t="s">
        <v>148</v>
      </c>
      <c r="E286" s="48" t="s">
        <v>183</v>
      </c>
      <c r="F286" s="48" t="s">
        <v>183</v>
      </c>
      <c r="G286" s="48">
        <v>20</v>
      </c>
      <c r="H286" s="48">
        <v>20</v>
      </c>
      <c r="I286" s="49">
        <v>488574.56</v>
      </c>
      <c r="J286" s="49">
        <f t="shared" si="10"/>
        <v>24428.727999999999</v>
      </c>
      <c r="K286" s="65">
        <v>1</v>
      </c>
    </row>
    <row r="287" spans="2:11" ht="12" hidden="1" customHeight="1">
      <c r="B287" s="46" t="s">
        <v>756</v>
      </c>
      <c r="C287" s="47" t="s">
        <v>757</v>
      </c>
      <c r="D287" s="47" t="s">
        <v>148</v>
      </c>
      <c r="E287" s="48" t="s">
        <v>185</v>
      </c>
      <c r="F287" s="48" t="s">
        <v>183</v>
      </c>
      <c r="G287" s="48">
        <v>19</v>
      </c>
      <c r="H287" s="48">
        <v>19</v>
      </c>
      <c r="I287" s="49">
        <v>1296345.6000000001</v>
      </c>
      <c r="J287" s="49">
        <f t="shared" si="10"/>
        <v>68228.715789473688</v>
      </c>
      <c r="K287" s="65">
        <v>1</v>
      </c>
    </row>
    <row r="288" spans="2:11" ht="12" hidden="1" customHeight="1">
      <c r="B288" s="46" t="s">
        <v>758</v>
      </c>
      <c r="C288" s="47" t="s">
        <v>759</v>
      </c>
      <c r="D288" s="47" t="s">
        <v>148</v>
      </c>
      <c r="E288" s="48" t="s">
        <v>183</v>
      </c>
      <c r="F288" s="48" t="s">
        <v>183</v>
      </c>
      <c r="G288" s="48">
        <v>45</v>
      </c>
      <c r="H288" s="48">
        <v>45</v>
      </c>
      <c r="I288" s="49">
        <v>3252415.05</v>
      </c>
      <c r="J288" s="49">
        <f t="shared" si="10"/>
        <v>72275.89</v>
      </c>
      <c r="K288" s="65">
        <v>1</v>
      </c>
    </row>
    <row r="289" spans="2:11" ht="12" hidden="1" customHeight="1">
      <c r="B289" s="46" t="s">
        <v>760</v>
      </c>
      <c r="C289" s="47" t="s">
        <v>761</v>
      </c>
      <c r="D289" s="47" t="s">
        <v>148</v>
      </c>
      <c r="E289" s="48" t="s">
        <v>183</v>
      </c>
      <c r="F289" s="48" t="s">
        <v>183</v>
      </c>
      <c r="G289" s="48">
        <v>67</v>
      </c>
      <c r="H289" s="48">
        <v>67</v>
      </c>
      <c r="I289" s="49">
        <v>6356571.9100000001</v>
      </c>
      <c r="J289" s="49">
        <f t="shared" si="10"/>
        <v>94874.207611940306</v>
      </c>
      <c r="K289" s="65">
        <v>1</v>
      </c>
    </row>
    <row r="290" spans="2:11" ht="12" hidden="1" customHeight="1">
      <c r="B290" s="46" t="s">
        <v>762</v>
      </c>
      <c r="C290" s="47" t="s">
        <v>763</v>
      </c>
      <c r="D290" s="47" t="s">
        <v>133</v>
      </c>
      <c r="E290" s="48" t="s">
        <v>185</v>
      </c>
      <c r="F290" s="48" t="s">
        <v>184</v>
      </c>
      <c r="G290" s="48">
        <v>70</v>
      </c>
      <c r="H290" s="48">
        <v>70</v>
      </c>
      <c r="I290" s="49">
        <v>14007760.99</v>
      </c>
      <c r="J290" s="49">
        <f t="shared" si="10"/>
        <v>200110.8712857143</v>
      </c>
      <c r="K290" s="65">
        <v>1</v>
      </c>
    </row>
    <row r="291" spans="2:11" ht="12" hidden="1" customHeight="1">
      <c r="B291" s="46" t="s">
        <v>764</v>
      </c>
      <c r="C291" s="47" t="s">
        <v>765</v>
      </c>
      <c r="D291" s="47" t="s">
        <v>38</v>
      </c>
      <c r="E291" s="48" t="s">
        <v>185</v>
      </c>
      <c r="F291" s="48" t="s">
        <v>184</v>
      </c>
      <c r="G291" s="48">
        <v>57</v>
      </c>
      <c r="H291" s="48">
        <v>100</v>
      </c>
      <c r="I291" s="49">
        <v>6659585.2199999997</v>
      </c>
      <c r="J291" s="49">
        <f t="shared" si="10"/>
        <v>116834.82842105263</v>
      </c>
      <c r="K291" s="65">
        <v>1</v>
      </c>
    </row>
    <row r="292" spans="2:11" ht="12" hidden="1" customHeight="1">
      <c r="B292" s="46" t="s">
        <v>766</v>
      </c>
      <c r="C292" s="47" t="s">
        <v>767</v>
      </c>
      <c r="D292" s="47" t="s">
        <v>38</v>
      </c>
      <c r="E292" s="48" t="s">
        <v>183</v>
      </c>
      <c r="F292" s="48" t="s">
        <v>184</v>
      </c>
      <c r="G292" s="48">
        <v>0</v>
      </c>
      <c r="H292" s="48">
        <v>25</v>
      </c>
      <c r="I292" s="49">
        <v>309901.90999999997</v>
      </c>
      <c r="J292" s="49" t="e">
        <f t="shared" si="10"/>
        <v>#DIV/0!</v>
      </c>
      <c r="K292" s="65">
        <v>1</v>
      </c>
    </row>
    <row r="293" spans="2:11" ht="12" hidden="1" customHeight="1">
      <c r="B293" s="46" t="s">
        <v>768</v>
      </c>
      <c r="C293" s="47" t="s">
        <v>769</v>
      </c>
      <c r="D293" s="47" t="s">
        <v>121</v>
      </c>
      <c r="E293" s="48" t="s">
        <v>185</v>
      </c>
      <c r="F293" s="48" t="s">
        <v>183</v>
      </c>
      <c r="G293" s="48">
        <v>16</v>
      </c>
      <c r="H293" s="48">
        <v>20</v>
      </c>
      <c r="I293" s="49">
        <v>1422545.94</v>
      </c>
      <c r="J293" s="49">
        <f t="shared" si="10"/>
        <v>88909.121249999997</v>
      </c>
      <c r="K293" s="65">
        <v>1</v>
      </c>
    </row>
    <row r="294" spans="2:11" ht="12" hidden="1" customHeight="1">
      <c r="B294" s="46" t="s">
        <v>770</v>
      </c>
      <c r="C294" s="47" t="s">
        <v>771</v>
      </c>
      <c r="D294" s="47" t="s">
        <v>41</v>
      </c>
      <c r="E294" s="48" t="s">
        <v>185</v>
      </c>
      <c r="F294" s="48" t="s">
        <v>183</v>
      </c>
      <c r="G294" s="48">
        <v>22</v>
      </c>
      <c r="H294" s="48">
        <v>27</v>
      </c>
      <c r="I294" s="49">
        <v>1344495.19</v>
      </c>
      <c r="J294" s="49">
        <f t="shared" si="10"/>
        <v>61113.417727272725</v>
      </c>
      <c r="K294" s="65">
        <v>1</v>
      </c>
    </row>
    <row r="295" spans="2:11" ht="12" hidden="1" customHeight="1">
      <c r="B295" s="46" t="s">
        <v>772</v>
      </c>
      <c r="C295" s="47" t="s">
        <v>773</v>
      </c>
      <c r="D295" s="47" t="s">
        <v>41</v>
      </c>
      <c r="E295" s="48" t="s">
        <v>183</v>
      </c>
      <c r="F295" s="48" t="s">
        <v>183</v>
      </c>
      <c r="G295" s="48">
        <v>75</v>
      </c>
      <c r="H295" s="48">
        <v>75</v>
      </c>
      <c r="I295" s="49">
        <v>7791633.4100000001</v>
      </c>
      <c r="J295" s="49">
        <f t="shared" si="10"/>
        <v>103888.44546666667</v>
      </c>
      <c r="K295" s="65">
        <v>1</v>
      </c>
    </row>
    <row r="296" spans="2:11" ht="12" hidden="1" customHeight="1">
      <c r="B296" s="46" t="s">
        <v>774</v>
      </c>
      <c r="C296" s="47" t="s">
        <v>775</v>
      </c>
      <c r="D296" s="47" t="s">
        <v>41</v>
      </c>
      <c r="E296" s="48" t="s">
        <v>183</v>
      </c>
      <c r="F296" s="48" t="s">
        <v>183</v>
      </c>
      <c r="G296" s="48">
        <v>45</v>
      </c>
      <c r="H296" s="48">
        <v>45</v>
      </c>
      <c r="I296" s="49">
        <v>2827895.02</v>
      </c>
      <c r="J296" s="49">
        <f t="shared" si="10"/>
        <v>62842.111555555559</v>
      </c>
      <c r="K296" s="65">
        <v>1</v>
      </c>
    </row>
    <row r="297" spans="2:11" ht="12" hidden="1" customHeight="1">
      <c r="B297" s="46" t="s">
        <v>776</v>
      </c>
      <c r="C297" s="47" t="s">
        <v>777</v>
      </c>
      <c r="D297" s="47" t="s">
        <v>151</v>
      </c>
      <c r="E297" s="48" t="s">
        <v>185</v>
      </c>
      <c r="F297" s="48" t="s">
        <v>184</v>
      </c>
      <c r="G297" s="48">
        <v>45</v>
      </c>
      <c r="H297" s="48">
        <v>50</v>
      </c>
      <c r="I297" s="49">
        <v>5800199.8399999999</v>
      </c>
      <c r="J297" s="49">
        <f t="shared" si="10"/>
        <v>128893.32977777778</v>
      </c>
      <c r="K297" s="65">
        <v>1</v>
      </c>
    </row>
    <row r="298" spans="2:11" ht="12" hidden="1" customHeight="1">
      <c r="B298" s="46" t="s">
        <v>778</v>
      </c>
      <c r="C298" s="47" t="s">
        <v>779</v>
      </c>
      <c r="D298" s="47" t="s">
        <v>177</v>
      </c>
      <c r="E298" s="48" t="s">
        <v>183</v>
      </c>
      <c r="F298" s="48" t="s">
        <v>184</v>
      </c>
      <c r="G298" s="48">
        <v>30</v>
      </c>
      <c r="H298" s="48">
        <v>30</v>
      </c>
      <c r="I298" s="49">
        <v>1621447.33</v>
      </c>
      <c r="J298" s="49">
        <f t="shared" si="10"/>
        <v>54048.244333333336</v>
      </c>
      <c r="K298" s="65">
        <v>1</v>
      </c>
    </row>
    <row r="299" spans="2:11" ht="12" hidden="1" customHeight="1">
      <c r="B299" s="46" t="s">
        <v>780</v>
      </c>
      <c r="C299" s="47" t="s">
        <v>781</v>
      </c>
      <c r="D299" s="47" t="s">
        <v>106</v>
      </c>
      <c r="E299" s="48" t="s">
        <v>183</v>
      </c>
      <c r="F299" s="48" t="s">
        <v>184</v>
      </c>
      <c r="G299" s="48">
        <v>35</v>
      </c>
      <c r="H299" s="48">
        <v>35</v>
      </c>
      <c r="I299" s="49">
        <v>1560299.79</v>
      </c>
      <c r="J299" s="49">
        <f t="shared" si="10"/>
        <v>44579.993999999999</v>
      </c>
      <c r="K299" s="65">
        <v>1</v>
      </c>
    </row>
    <row r="300" spans="2:11" ht="12" hidden="1" customHeight="1">
      <c r="B300" s="46" t="s">
        <v>782</v>
      </c>
      <c r="C300" s="47" t="s">
        <v>783</v>
      </c>
      <c r="D300" s="47" t="s">
        <v>152</v>
      </c>
      <c r="E300" s="48" t="s">
        <v>183</v>
      </c>
      <c r="F300" s="48" t="s">
        <v>184</v>
      </c>
      <c r="G300" s="48">
        <v>105</v>
      </c>
      <c r="H300" s="48">
        <v>105</v>
      </c>
      <c r="I300" s="49">
        <v>5403738.5499999998</v>
      </c>
      <c r="J300" s="49">
        <f t="shared" si="10"/>
        <v>51464.176666666666</v>
      </c>
      <c r="K300" s="65">
        <v>1</v>
      </c>
    </row>
    <row r="301" spans="2:11" ht="12" hidden="1" customHeight="1">
      <c r="B301" s="46" t="s">
        <v>784</v>
      </c>
      <c r="C301" s="47" t="s">
        <v>785</v>
      </c>
      <c r="D301" s="47" t="s">
        <v>130</v>
      </c>
      <c r="E301" s="48" t="s">
        <v>183</v>
      </c>
      <c r="F301" s="48" t="s">
        <v>183</v>
      </c>
      <c r="G301" s="48">
        <v>40</v>
      </c>
      <c r="H301" s="48">
        <v>44</v>
      </c>
      <c r="I301" s="49">
        <v>2940597.66</v>
      </c>
      <c r="J301" s="49">
        <f t="shared" si="10"/>
        <v>73514.941500000001</v>
      </c>
      <c r="K301" s="65">
        <v>1</v>
      </c>
    </row>
    <row r="302" spans="2:11" ht="12" hidden="1" customHeight="1">
      <c r="B302" s="46" t="s">
        <v>786</v>
      </c>
      <c r="C302" s="47" t="s">
        <v>787</v>
      </c>
      <c r="D302" s="47" t="s">
        <v>137</v>
      </c>
      <c r="E302" s="48" t="s">
        <v>183</v>
      </c>
      <c r="F302" s="48" t="s">
        <v>184</v>
      </c>
      <c r="G302" s="48">
        <v>82</v>
      </c>
      <c r="H302" s="48">
        <v>82</v>
      </c>
      <c r="I302" s="49">
        <v>6370702.7300000004</v>
      </c>
      <c r="J302" s="49">
        <f t="shared" si="10"/>
        <v>77691.496707317085</v>
      </c>
      <c r="K302" s="65">
        <v>1</v>
      </c>
    </row>
    <row r="303" spans="2:11" ht="12" hidden="1" customHeight="1">
      <c r="B303" s="46" t="s">
        <v>788</v>
      </c>
      <c r="C303" s="47" t="s">
        <v>789</v>
      </c>
      <c r="D303" s="47" t="s">
        <v>154</v>
      </c>
      <c r="E303" s="48" t="s">
        <v>185</v>
      </c>
      <c r="F303" s="48" t="s">
        <v>184</v>
      </c>
      <c r="G303" s="48">
        <v>70</v>
      </c>
      <c r="H303" s="48">
        <v>70</v>
      </c>
      <c r="I303" s="49">
        <v>9118231.1999999993</v>
      </c>
      <c r="J303" s="49">
        <f t="shared" si="10"/>
        <v>130260.4457142857</v>
      </c>
      <c r="K303" s="65">
        <v>1</v>
      </c>
    </row>
    <row r="304" spans="2:11" ht="12" hidden="1" customHeight="1">
      <c r="B304" s="46" t="s">
        <v>790</v>
      </c>
      <c r="C304" s="47" t="s">
        <v>791</v>
      </c>
      <c r="D304" s="47" t="s">
        <v>155</v>
      </c>
      <c r="E304" s="48" t="s">
        <v>185</v>
      </c>
      <c r="F304" s="48" t="s">
        <v>184</v>
      </c>
      <c r="G304" s="48">
        <v>23</v>
      </c>
      <c r="H304" s="48">
        <v>23</v>
      </c>
      <c r="I304" s="49">
        <v>1856971.01</v>
      </c>
      <c r="J304" s="49">
        <f t="shared" si="10"/>
        <v>80737.87</v>
      </c>
      <c r="K304" s="65">
        <v>1</v>
      </c>
    </row>
    <row r="305" spans="2:11" ht="12" hidden="1" customHeight="1">
      <c r="B305" s="46" t="s">
        <v>792</v>
      </c>
      <c r="C305" s="47" t="s">
        <v>793</v>
      </c>
      <c r="D305" s="47" t="s">
        <v>41</v>
      </c>
      <c r="E305" s="48" t="s">
        <v>183</v>
      </c>
      <c r="F305" s="48" t="s">
        <v>183</v>
      </c>
      <c r="G305" s="48">
        <v>69</v>
      </c>
      <c r="H305" s="48">
        <v>69</v>
      </c>
      <c r="I305" s="49">
        <v>5903740.8600000003</v>
      </c>
      <c r="J305" s="49">
        <f t="shared" si="10"/>
        <v>85561.461739130435</v>
      </c>
      <c r="K305" s="65">
        <v>1</v>
      </c>
    </row>
    <row r="306" spans="2:11" ht="12" hidden="1" customHeight="1">
      <c r="B306" s="46" t="s">
        <v>794</v>
      </c>
      <c r="C306" s="47" t="s">
        <v>795</v>
      </c>
      <c r="D306" s="47" t="s">
        <v>41</v>
      </c>
      <c r="E306" s="48" t="s">
        <v>183</v>
      </c>
      <c r="F306" s="48" t="s">
        <v>183</v>
      </c>
      <c r="G306" s="48">
        <v>35</v>
      </c>
      <c r="H306" s="48">
        <v>35</v>
      </c>
      <c r="I306" s="49">
        <v>1769595.7</v>
      </c>
      <c r="J306" s="49">
        <f t="shared" si="10"/>
        <v>50559.877142857142</v>
      </c>
      <c r="K306" s="65">
        <v>1</v>
      </c>
    </row>
    <row r="307" spans="2:11" ht="12" hidden="1" customHeight="1">
      <c r="B307" s="46" t="s">
        <v>796</v>
      </c>
      <c r="C307" s="47" t="s">
        <v>797</v>
      </c>
      <c r="D307" s="47" t="s">
        <v>41</v>
      </c>
      <c r="E307" s="48" t="s">
        <v>185</v>
      </c>
      <c r="F307" s="48" t="s">
        <v>183</v>
      </c>
      <c r="G307" s="48">
        <v>15</v>
      </c>
      <c r="H307" s="48">
        <v>30</v>
      </c>
      <c r="I307" s="49">
        <v>1751491.34</v>
      </c>
      <c r="J307" s="49">
        <f t="shared" si="10"/>
        <v>116766.08933333334</v>
      </c>
      <c r="K307" s="65">
        <v>1</v>
      </c>
    </row>
    <row r="308" spans="2:11" ht="12" hidden="1" customHeight="1">
      <c r="B308" s="46" t="s">
        <v>798</v>
      </c>
      <c r="C308" s="47" t="s">
        <v>799</v>
      </c>
      <c r="D308" s="47" t="s">
        <v>41</v>
      </c>
      <c r="E308" s="48" t="s">
        <v>183</v>
      </c>
      <c r="F308" s="48" t="s">
        <v>183</v>
      </c>
      <c r="G308" s="48">
        <v>46</v>
      </c>
      <c r="H308" s="48">
        <v>46</v>
      </c>
      <c r="I308" s="49">
        <v>3257122.4</v>
      </c>
      <c r="J308" s="49">
        <f t="shared" si="10"/>
        <v>70807.00869565217</v>
      </c>
      <c r="K308" s="65">
        <v>1</v>
      </c>
    </row>
    <row r="309" spans="2:11" ht="12" hidden="1" customHeight="1">
      <c r="B309" s="46" t="s">
        <v>800</v>
      </c>
      <c r="C309" s="47" t="s">
        <v>801</v>
      </c>
      <c r="D309" s="47" t="s">
        <v>116</v>
      </c>
      <c r="E309" s="48" t="s">
        <v>185</v>
      </c>
      <c r="F309" s="48" t="s">
        <v>184</v>
      </c>
      <c r="G309" s="48">
        <v>70</v>
      </c>
      <c r="H309" s="48">
        <v>70</v>
      </c>
      <c r="I309" s="49">
        <v>10939163.27</v>
      </c>
      <c r="J309" s="49">
        <f t="shared" si="10"/>
        <v>156273.761</v>
      </c>
      <c r="K309" s="65">
        <v>1</v>
      </c>
    </row>
    <row r="310" spans="2:11" ht="12" hidden="1" customHeight="1">
      <c r="B310" s="46" t="s">
        <v>802</v>
      </c>
      <c r="C310" s="47" t="s">
        <v>803</v>
      </c>
      <c r="D310" s="47" t="s">
        <v>103</v>
      </c>
      <c r="E310" s="48" t="s">
        <v>183</v>
      </c>
      <c r="F310" s="48" t="s">
        <v>183</v>
      </c>
      <c r="G310" s="48">
        <v>19</v>
      </c>
      <c r="H310" s="48">
        <v>19</v>
      </c>
      <c r="I310" s="49">
        <v>417652.85</v>
      </c>
      <c r="J310" s="49">
        <f t="shared" si="10"/>
        <v>21981.728947368421</v>
      </c>
      <c r="K310" s="65">
        <v>1</v>
      </c>
    </row>
    <row r="311" spans="2:11" ht="12" hidden="1" customHeight="1">
      <c r="B311" s="46" t="s">
        <v>804</v>
      </c>
      <c r="C311" s="47" t="s">
        <v>805</v>
      </c>
      <c r="D311" s="47" t="s">
        <v>151</v>
      </c>
      <c r="E311" s="48" t="s">
        <v>185</v>
      </c>
      <c r="F311" s="48" t="s">
        <v>184</v>
      </c>
      <c r="G311" s="48">
        <v>65</v>
      </c>
      <c r="H311" s="48">
        <v>75</v>
      </c>
      <c r="I311" s="49">
        <v>8928610.9600000009</v>
      </c>
      <c r="J311" s="49">
        <f t="shared" si="10"/>
        <v>137363.24553846155</v>
      </c>
      <c r="K311" s="65">
        <v>1</v>
      </c>
    </row>
    <row r="312" spans="2:11" ht="12" hidden="1" customHeight="1">
      <c r="B312" s="46" t="s">
        <v>806</v>
      </c>
      <c r="C312" s="47" t="s">
        <v>807</v>
      </c>
      <c r="D312" s="47" t="s">
        <v>151</v>
      </c>
      <c r="E312" s="48" t="s">
        <v>183</v>
      </c>
      <c r="F312" s="48" t="s">
        <v>184</v>
      </c>
      <c r="G312" s="48">
        <v>105</v>
      </c>
      <c r="H312" s="48">
        <v>105</v>
      </c>
      <c r="I312" s="49">
        <v>11475604.08</v>
      </c>
      <c r="J312" s="49">
        <f t="shared" si="10"/>
        <v>109291.46742857143</v>
      </c>
      <c r="K312" s="65">
        <v>1</v>
      </c>
    </row>
    <row r="313" spans="2:11" ht="12" hidden="1" customHeight="1">
      <c r="B313" s="46" t="s">
        <v>808</v>
      </c>
      <c r="C313" s="47" t="s">
        <v>809</v>
      </c>
      <c r="D313" s="47" t="s">
        <v>103</v>
      </c>
      <c r="E313" s="48" t="s">
        <v>183</v>
      </c>
      <c r="F313" s="48" t="s">
        <v>183</v>
      </c>
      <c r="G313" s="48">
        <v>26</v>
      </c>
      <c r="H313" s="48">
        <v>26</v>
      </c>
      <c r="I313" s="49">
        <v>1191183.1200000001</v>
      </c>
      <c r="J313" s="49">
        <f t="shared" si="10"/>
        <v>45814.735384615386</v>
      </c>
      <c r="K313" s="65">
        <v>1</v>
      </c>
    </row>
    <row r="314" spans="2:11" ht="12" hidden="1" customHeight="1">
      <c r="B314" s="46" t="s">
        <v>810</v>
      </c>
      <c r="C314" s="47" t="s">
        <v>811</v>
      </c>
      <c r="D314" s="47" t="s">
        <v>36</v>
      </c>
      <c r="E314" s="48" t="s">
        <v>183</v>
      </c>
      <c r="F314" s="48" t="s">
        <v>183</v>
      </c>
      <c r="G314" s="48">
        <v>32</v>
      </c>
      <c r="H314" s="48">
        <v>32</v>
      </c>
      <c r="I314" s="49">
        <v>1262300.02</v>
      </c>
      <c r="J314" s="49">
        <f t="shared" si="10"/>
        <v>39446.875625000001</v>
      </c>
      <c r="K314" s="65">
        <v>1</v>
      </c>
    </row>
    <row r="315" spans="2:11" ht="12" hidden="1" customHeight="1">
      <c r="B315" s="46" t="s">
        <v>40</v>
      </c>
      <c r="C315" s="47" t="s">
        <v>186</v>
      </c>
      <c r="D315" s="47" t="s">
        <v>109</v>
      </c>
      <c r="E315" s="48" t="s">
        <v>185</v>
      </c>
      <c r="F315" s="48" t="s">
        <v>184</v>
      </c>
      <c r="G315" s="48">
        <v>50</v>
      </c>
      <c r="H315" s="48">
        <v>50</v>
      </c>
      <c r="I315" s="49">
        <v>1069644.23</v>
      </c>
      <c r="J315" s="49">
        <f t="shared" si="10"/>
        <v>21392.884600000001</v>
      </c>
      <c r="K315" s="65">
        <v>1</v>
      </c>
    </row>
    <row r="316" spans="2:11" ht="12" hidden="1" customHeight="1">
      <c r="B316" s="46" t="s">
        <v>812</v>
      </c>
      <c r="C316" s="47" t="s">
        <v>813</v>
      </c>
      <c r="D316" s="47" t="s">
        <v>152</v>
      </c>
      <c r="E316" s="48" t="s">
        <v>185</v>
      </c>
      <c r="F316" s="48" t="s">
        <v>184</v>
      </c>
      <c r="G316" s="48">
        <v>68</v>
      </c>
      <c r="H316" s="48">
        <v>68</v>
      </c>
      <c r="I316" s="49">
        <v>9533689.9700000007</v>
      </c>
      <c r="J316" s="49">
        <f t="shared" si="10"/>
        <v>140201.32308823531</v>
      </c>
      <c r="K316" s="65">
        <v>1</v>
      </c>
    </row>
    <row r="317" spans="2:11" ht="12" customHeight="1">
      <c r="B317" s="46" t="s">
        <v>814</v>
      </c>
      <c r="C317" s="47" t="s">
        <v>815</v>
      </c>
      <c r="D317" s="47" t="s">
        <v>128</v>
      </c>
      <c r="E317" s="48" t="s">
        <v>183</v>
      </c>
      <c r="F317" s="48" t="s">
        <v>184</v>
      </c>
      <c r="G317" s="48">
        <v>50</v>
      </c>
      <c r="H317" s="48">
        <v>50</v>
      </c>
      <c r="I317" s="49">
        <v>4232618.21</v>
      </c>
      <c r="J317" s="49">
        <f t="shared" si="10"/>
        <v>84652.364199999996</v>
      </c>
      <c r="K317" s="65">
        <v>1</v>
      </c>
    </row>
    <row r="318" spans="2:11" ht="12" customHeight="1">
      <c r="B318" s="46" t="s">
        <v>816</v>
      </c>
      <c r="C318" s="47" t="s">
        <v>817</v>
      </c>
      <c r="D318" s="47" t="s">
        <v>128</v>
      </c>
      <c r="E318" s="48" t="s">
        <v>183</v>
      </c>
      <c r="F318" s="48" t="s">
        <v>184</v>
      </c>
      <c r="G318" s="48">
        <v>30</v>
      </c>
      <c r="H318" s="48">
        <v>35</v>
      </c>
      <c r="I318" s="49">
        <v>2668798.2400000002</v>
      </c>
      <c r="J318" s="49">
        <f t="shared" si="10"/>
        <v>88959.941333333336</v>
      </c>
      <c r="K318" s="65">
        <v>1</v>
      </c>
    </row>
    <row r="319" spans="2:11" ht="12" hidden="1" customHeight="1">
      <c r="B319" s="46" t="s">
        <v>818</v>
      </c>
      <c r="C319" s="47" t="s">
        <v>819</v>
      </c>
      <c r="D319" s="47" t="s">
        <v>129</v>
      </c>
      <c r="E319" s="48" t="s">
        <v>185</v>
      </c>
      <c r="F319" s="48" t="s">
        <v>183</v>
      </c>
      <c r="G319" s="48">
        <v>84</v>
      </c>
      <c r="H319" s="48">
        <v>84</v>
      </c>
      <c r="I319" s="49">
        <v>7607709.9699999997</v>
      </c>
      <c r="J319" s="49">
        <f t="shared" si="10"/>
        <v>90567.97583333333</v>
      </c>
      <c r="K319" s="65">
        <v>1</v>
      </c>
    </row>
    <row r="320" spans="2:11" ht="12" hidden="1" customHeight="1">
      <c r="B320" s="46" t="s">
        <v>820</v>
      </c>
      <c r="C320" s="47" t="s">
        <v>821</v>
      </c>
      <c r="D320" s="47" t="s">
        <v>105</v>
      </c>
      <c r="E320" s="48" t="s">
        <v>183</v>
      </c>
      <c r="F320" s="48" t="s">
        <v>183</v>
      </c>
      <c r="G320" s="48">
        <v>70</v>
      </c>
      <c r="H320" s="48">
        <v>70</v>
      </c>
      <c r="I320" s="49">
        <v>5888706.0800000001</v>
      </c>
      <c r="J320" s="49">
        <f t="shared" si="10"/>
        <v>84124.372571428568</v>
      </c>
      <c r="K320" s="65">
        <v>1</v>
      </c>
    </row>
    <row r="321" spans="2:11" ht="12" hidden="1" customHeight="1">
      <c r="B321" s="46" t="s">
        <v>822</v>
      </c>
      <c r="C321" s="47" t="s">
        <v>823</v>
      </c>
      <c r="D321" s="47" t="s">
        <v>154</v>
      </c>
      <c r="E321" s="48" t="s">
        <v>183</v>
      </c>
      <c r="F321" s="48" t="s">
        <v>184</v>
      </c>
      <c r="G321" s="48">
        <v>85</v>
      </c>
      <c r="H321" s="48">
        <v>85</v>
      </c>
      <c r="I321" s="49">
        <v>3975916.13</v>
      </c>
      <c r="J321" s="49">
        <f t="shared" si="10"/>
        <v>46775.483882352943</v>
      </c>
      <c r="K321" s="65">
        <v>1</v>
      </c>
    </row>
    <row r="322" spans="2:11" ht="12" hidden="1" customHeight="1">
      <c r="B322" s="46" t="s">
        <v>824</v>
      </c>
      <c r="C322" s="47" t="s">
        <v>825</v>
      </c>
      <c r="D322" s="47" t="s">
        <v>120</v>
      </c>
      <c r="E322" s="48" t="s">
        <v>183</v>
      </c>
      <c r="F322" s="48" t="s">
        <v>184</v>
      </c>
      <c r="G322" s="48">
        <v>0</v>
      </c>
      <c r="H322" s="48">
        <v>56</v>
      </c>
      <c r="I322" s="49">
        <v>0</v>
      </c>
      <c r="J322" s="49" t="str">
        <f t="shared" si="10"/>
        <v/>
      </c>
      <c r="K322" s="65">
        <v>1</v>
      </c>
    </row>
    <row r="323" spans="2:11" ht="12" hidden="1" customHeight="1">
      <c r="B323" s="46" t="s">
        <v>826</v>
      </c>
      <c r="C323" s="47" t="s">
        <v>827</v>
      </c>
      <c r="D323" s="47" t="s">
        <v>31</v>
      </c>
      <c r="E323" s="48" t="s">
        <v>183</v>
      </c>
      <c r="F323" s="48" t="s">
        <v>183</v>
      </c>
      <c r="G323" s="48">
        <v>60</v>
      </c>
      <c r="H323" s="48">
        <v>60</v>
      </c>
      <c r="I323" s="49">
        <v>1916775.01</v>
      </c>
      <c r="J323" s="49">
        <f t="shared" si="10"/>
        <v>31946.250166666669</v>
      </c>
      <c r="K323" s="65">
        <v>1</v>
      </c>
    </row>
    <row r="324" spans="2:11" ht="12" hidden="1" customHeight="1">
      <c r="B324" s="46" t="s">
        <v>828</v>
      </c>
      <c r="C324" s="47" t="s">
        <v>829</v>
      </c>
      <c r="D324" s="47" t="s">
        <v>151</v>
      </c>
      <c r="E324" s="48" t="s">
        <v>185</v>
      </c>
      <c r="F324" s="48" t="s">
        <v>184</v>
      </c>
      <c r="G324" s="48">
        <v>45</v>
      </c>
      <c r="H324" s="48">
        <v>46</v>
      </c>
      <c r="I324" s="49">
        <v>5032850.84</v>
      </c>
      <c r="J324" s="49">
        <f t="shared" si="10"/>
        <v>111841.12977777778</v>
      </c>
      <c r="K324" s="65">
        <v>1</v>
      </c>
    </row>
    <row r="325" spans="2:11" ht="12" hidden="1" customHeight="1">
      <c r="B325" s="46" t="s">
        <v>830</v>
      </c>
      <c r="C325" s="47" t="s">
        <v>831</v>
      </c>
      <c r="D325" s="47" t="s">
        <v>146</v>
      </c>
      <c r="E325" s="48" t="s">
        <v>185</v>
      </c>
      <c r="F325" s="48" t="s">
        <v>184</v>
      </c>
      <c r="G325" s="48">
        <v>0</v>
      </c>
      <c r="H325" s="48">
        <v>22</v>
      </c>
      <c r="I325" s="49">
        <v>0</v>
      </c>
      <c r="J325" s="49" t="str">
        <f t="shared" ref="J325:J388" si="11">IF(I325&gt;0,I325/G325,"")</f>
        <v/>
      </c>
      <c r="K325" s="65">
        <v>1</v>
      </c>
    </row>
    <row r="326" spans="2:11" ht="12" hidden="1" customHeight="1">
      <c r="B326" s="46" t="s">
        <v>832</v>
      </c>
      <c r="C326" s="47" t="s">
        <v>833</v>
      </c>
      <c r="D326" s="47" t="s">
        <v>129</v>
      </c>
      <c r="E326" s="48" t="s">
        <v>183</v>
      </c>
      <c r="F326" s="48" t="s">
        <v>183</v>
      </c>
      <c r="G326" s="48">
        <v>60</v>
      </c>
      <c r="H326" s="48">
        <v>60</v>
      </c>
      <c r="I326" s="49">
        <v>3908004.3</v>
      </c>
      <c r="J326" s="49">
        <f t="shared" si="11"/>
        <v>65133.404999999999</v>
      </c>
      <c r="K326" s="65">
        <v>1</v>
      </c>
    </row>
    <row r="327" spans="2:11" ht="12" hidden="1" customHeight="1">
      <c r="B327" s="46" t="s">
        <v>834</v>
      </c>
      <c r="C327" s="47" t="s">
        <v>835</v>
      </c>
      <c r="D327" s="47" t="s">
        <v>106</v>
      </c>
      <c r="E327" s="48" t="s">
        <v>185</v>
      </c>
      <c r="F327" s="48" t="s">
        <v>184</v>
      </c>
      <c r="G327" s="48">
        <v>93</v>
      </c>
      <c r="H327" s="48">
        <v>105</v>
      </c>
      <c r="I327" s="49">
        <v>11332184.27</v>
      </c>
      <c r="J327" s="49">
        <f t="shared" si="11"/>
        <v>121851.44376344085</v>
      </c>
      <c r="K327" s="65">
        <v>1</v>
      </c>
    </row>
    <row r="328" spans="2:11" ht="12" hidden="1" customHeight="1">
      <c r="B328" s="46" t="s">
        <v>836</v>
      </c>
      <c r="C328" s="47" t="s">
        <v>837</v>
      </c>
      <c r="D328" s="47" t="s">
        <v>177</v>
      </c>
      <c r="E328" s="48" t="s">
        <v>185</v>
      </c>
      <c r="F328" s="48" t="s">
        <v>184</v>
      </c>
      <c r="G328" s="48">
        <v>45</v>
      </c>
      <c r="H328" s="48">
        <v>60</v>
      </c>
      <c r="I328" s="49">
        <v>4529614.99</v>
      </c>
      <c r="J328" s="49">
        <f t="shared" si="11"/>
        <v>100658.1108888889</v>
      </c>
      <c r="K328" s="65">
        <v>1</v>
      </c>
    </row>
    <row r="329" spans="2:11" ht="12" hidden="1" customHeight="1">
      <c r="B329" s="46" t="s">
        <v>838</v>
      </c>
      <c r="C329" s="47" t="s">
        <v>839</v>
      </c>
      <c r="D329" s="47" t="s">
        <v>135</v>
      </c>
      <c r="E329" s="48" t="s">
        <v>185</v>
      </c>
      <c r="F329" s="48" t="s">
        <v>184</v>
      </c>
      <c r="G329" s="48">
        <v>43</v>
      </c>
      <c r="H329" s="48">
        <v>43</v>
      </c>
      <c r="I329" s="49">
        <v>5662054.1299999999</v>
      </c>
      <c r="J329" s="49">
        <f t="shared" si="11"/>
        <v>131675.67744186046</v>
      </c>
      <c r="K329" s="65">
        <v>1</v>
      </c>
    </row>
    <row r="330" spans="2:11" ht="12" hidden="1" customHeight="1">
      <c r="B330" s="46" t="s">
        <v>840</v>
      </c>
      <c r="C330" s="47" t="s">
        <v>841</v>
      </c>
      <c r="D330" s="47" t="s">
        <v>120</v>
      </c>
      <c r="E330" s="48" t="s">
        <v>185</v>
      </c>
      <c r="F330" s="48" t="s">
        <v>184</v>
      </c>
      <c r="G330" s="48">
        <v>80</v>
      </c>
      <c r="H330" s="48">
        <v>80</v>
      </c>
      <c r="I330" s="49">
        <v>10656688.84</v>
      </c>
      <c r="J330" s="49">
        <f t="shared" si="11"/>
        <v>133208.61050000001</v>
      </c>
      <c r="K330" s="65">
        <v>1</v>
      </c>
    </row>
    <row r="331" spans="2:11" ht="12" hidden="1" customHeight="1">
      <c r="B331" s="46" t="s">
        <v>842</v>
      </c>
      <c r="C331" s="47" t="s">
        <v>843</v>
      </c>
      <c r="D331" s="47" t="s">
        <v>148</v>
      </c>
      <c r="E331" s="48" t="s">
        <v>183</v>
      </c>
      <c r="F331" s="48" t="s">
        <v>183</v>
      </c>
      <c r="G331" s="48">
        <v>5</v>
      </c>
      <c r="H331" s="48">
        <v>5</v>
      </c>
      <c r="I331" s="49">
        <v>325535.5</v>
      </c>
      <c r="J331" s="49">
        <f t="shared" si="11"/>
        <v>65107.1</v>
      </c>
      <c r="K331" s="65">
        <v>1</v>
      </c>
    </row>
    <row r="332" spans="2:11" ht="12" hidden="1" customHeight="1">
      <c r="B332" s="46" t="s">
        <v>844</v>
      </c>
      <c r="C332" s="47" t="s">
        <v>845</v>
      </c>
      <c r="D332" s="47" t="s">
        <v>115</v>
      </c>
      <c r="E332" s="48" t="s">
        <v>185</v>
      </c>
      <c r="F332" s="48" t="s">
        <v>184</v>
      </c>
      <c r="G332" s="48">
        <v>0</v>
      </c>
      <c r="H332" s="48">
        <v>0</v>
      </c>
      <c r="I332" s="49">
        <v>2229886.7200000002</v>
      </c>
      <c r="J332" s="49" t="e">
        <f t="shared" si="11"/>
        <v>#DIV/0!</v>
      </c>
      <c r="K332" s="65">
        <v>1</v>
      </c>
    </row>
    <row r="333" spans="2:11" ht="12" hidden="1" customHeight="1">
      <c r="B333" s="46" t="s">
        <v>844</v>
      </c>
      <c r="C333" s="47" t="s">
        <v>845</v>
      </c>
      <c r="D333" s="47" t="s">
        <v>115</v>
      </c>
      <c r="E333" s="48" t="s">
        <v>185</v>
      </c>
      <c r="F333" s="48" t="s">
        <v>184</v>
      </c>
      <c r="G333" s="48">
        <v>50</v>
      </c>
      <c r="H333" s="48">
        <v>50</v>
      </c>
      <c r="I333" s="49">
        <v>2005097.2</v>
      </c>
      <c r="J333" s="49">
        <f t="shared" si="11"/>
        <v>40101.943999999996</v>
      </c>
      <c r="K333" s="65">
        <v>1</v>
      </c>
    </row>
    <row r="334" spans="2:11" ht="12" hidden="1" customHeight="1">
      <c r="B334" s="46" t="s">
        <v>846</v>
      </c>
      <c r="C334" s="47" t="s">
        <v>847</v>
      </c>
      <c r="D334" s="47" t="s">
        <v>115</v>
      </c>
      <c r="E334" s="48" t="s">
        <v>185</v>
      </c>
      <c r="F334" s="48" t="s">
        <v>184</v>
      </c>
      <c r="G334" s="48">
        <v>0</v>
      </c>
      <c r="H334" s="48">
        <v>0</v>
      </c>
      <c r="I334" s="49">
        <v>0</v>
      </c>
      <c r="J334" s="49" t="str">
        <f t="shared" si="11"/>
        <v/>
      </c>
      <c r="K334" s="65">
        <v>1</v>
      </c>
    </row>
    <row r="335" spans="2:11" ht="12" hidden="1" customHeight="1">
      <c r="B335" s="46" t="s">
        <v>848</v>
      </c>
      <c r="C335" s="47" t="s">
        <v>849</v>
      </c>
      <c r="D335" s="47" t="s">
        <v>115</v>
      </c>
      <c r="E335" s="48" t="s">
        <v>183</v>
      </c>
      <c r="F335" s="48" t="s">
        <v>184</v>
      </c>
      <c r="G335" s="48">
        <v>38</v>
      </c>
      <c r="H335" s="48">
        <v>38</v>
      </c>
      <c r="I335" s="49">
        <v>1197897.95</v>
      </c>
      <c r="J335" s="49">
        <f t="shared" si="11"/>
        <v>31523.630263157895</v>
      </c>
      <c r="K335" s="65">
        <v>1</v>
      </c>
    </row>
    <row r="336" spans="2:11" ht="12" hidden="1" customHeight="1">
      <c r="B336" s="46" t="s">
        <v>850</v>
      </c>
      <c r="C336" s="47" t="s">
        <v>851</v>
      </c>
      <c r="D336" s="47" t="s">
        <v>111</v>
      </c>
      <c r="E336" s="48" t="s">
        <v>185</v>
      </c>
      <c r="F336" s="48" t="s">
        <v>184</v>
      </c>
      <c r="G336" s="48">
        <v>40</v>
      </c>
      <c r="H336" s="48">
        <v>48</v>
      </c>
      <c r="I336" s="49">
        <v>4257686.09</v>
      </c>
      <c r="J336" s="49">
        <f t="shared" si="11"/>
        <v>106442.15225</v>
      </c>
      <c r="K336" s="65">
        <v>1</v>
      </c>
    </row>
    <row r="337" spans="2:11" ht="12" hidden="1" customHeight="1">
      <c r="B337" s="46" t="s">
        <v>852</v>
      </c>
      <c r="C337" s="47" t="s">
        <v>853</v>
      </c>
      <c r="D337" s="47" t="s">
        <v>39</v>
      </c>
      <c r="E337" s="48" t="s">
        <v>185</v>
      </c>
      <c r="F337" s="48" t="s">
        <v>184</v>
      </c>
      <c r="G337" s="48">
        <v>30</v>
      </c>
      <c r="H337" s="48">
        <v>30</v>
      </c>
      <c r="I337" s="49">
        <v>2053100.68</v>
      </c>
      <c r="J337" s="49">
        <f t="shared" si="11"/>
        <v>68436.689333333328</v>
      </c>
      <c r="K337" s="65">
        <v>1</v>
      </c>
    </row>
    <row r="338" spans="2:11" ht="12" hidden="1" customHeight="1">
      <c r="B338" s="46" t="s">
        <v>852</v>
      </c>
      <c r="C338" s="47" t="s">
        <v>853</v>
      </c>
      <c r="D338" s="47" t="s">
        <v>39</v>
      </c>
      <c r="E338" s="48" t="s">
        <v>185</v>
      </c>
      <c r="F338" s="48" t="s">
        <v>184</v>
      </c>
      <c r="G338" s="48">
        <v>0</v>
      </c>
      <c r="H338" s="48">
        <v>30</v>
      </c>
      <c r="I338" s="49">
        <v>0</v>
      </c>
      <c r="J338" s="49" t="str">
        <f t="shared" si="11"/>
        <v/>
      </c>
      <c r="K338" s="65">
        <v>1</v>
      </c>
    </row>
    <row r="339" spans="2:11" ht="12" hidden="1" customHeight="1">
      <c r="B339" s="46" t="s">
        <v>854</v>
      </c>
      <c r="C339" s="47" t="s">
        <v>855</v>
      </c>
      <c r="D339" s="47" t="s">
        <v>154</v>
      </c>
      <c r="E339" s="48" t="s">
        <v>183</v>
      </c>
      <c r="F339" s="48" t="s">
        <v>184</v>
      </c>
      <c r="G339" s="48">
        <v>47</v>
      </c>
      <c r="H339" s="48">
        <v>47</v>
      </c>
      <c r="I339" s="49">
        <v>3017861.33</v>
      </c>
      <c r="J339" s="49">
        <f t="shared" si="11"/>
        <v>64209.815531914894</v>
      </c>
      <c r="K339" s="65">
        <v>1</v>
      </c>
    </row>
    <row r="340" spans="2:11" ht="12" hidden="1" customHeight="1">
      <c r="B340" s="46" t="s">
        <v>856</v>
      </c>
      <c r="C340" s="47" t="s">
        <v>857</v>
      </c>
      <c r="D340" s="47" t="s">
        <v>154</v>
      </c>
      <c r="E340" s="48" t="s">
        <v>185</v>
      </c>
      <c r="F340" s="48" t="s">
        <v>184</v>
      </c>
      <c r="G340" s="48">
        <v>42</v>
      </c>
      <c r="H340" s="48">
        <v>42</v>
      </c>
      <c r="I340" s="49">
        <v>5246257.6399999997</v>
      </c>
      <c r="J340" s="49">
        <f t="shared" si="11"/>
        <v>124910.89619047618</v>
      </c>
      <c r="K340" s="65">
        <v>1</v>
      </c>
    </row>
    <row r="341" spans="2:11" ht="12" hidden="1" customHeight="1">
      <c r="B341" s="46" t="s">
        <v>858</v>
      </c>
      <c r="C341" s="47" t="s">
        <v>859</v>
      </c>
      <c r="D341" s="47" t="s">
        <v>155</v>
      </c>
      <c r="E341" s="48" t="s">
        <v>183</v>
      </c>
      <c r="F341" s="48" t="s">
        <v>184</v>
      </c>
      <c r="G341" s="48">
        <v>20</v>
      </c>
      <c r="H341" s="48">
        <v>20</v>
      </c>
      <c r="I341" s="49">
        <v>1203146.6100000001</v>
      </c>
      <c r="J341" s="49">
        <f t="shared" si="11"/>
        <v>60157.330500000004</v>
      </c>
      <c r="K341" s="65">
        <v>1</v>
      </c>
    </row>
    <row r="342" spans="2:11" ht="12" hidden="1" customHeight="1">
      <c r="B342" s="46" t="s">
        <v>860</v>
      </c>
      <c r="C342" s="47" t="s">
        <v>861</v>
      </c>
      <c r="D342" s="47" t="s">
        <v>129</v>
      </c>
      <c r="E342" s="48" t="s">
        <v>185</v>
      </c>
      <c r="F342" s="48" t="s">
        <v>183</v>
      </c>
      <c r="G342" s="48">
        <v>55</v>
      </c>
      <c r="H342" s="48">
        <v>55</v>
      </c>
      <c r="I342" s="49">
        <v>6234110.7400000002</v>
      </c>
      <c r="J342" s="49">
        <f t="shared" si="11"/>
        <v>113347.46800000001</v>
      </c>
      <c r="K342" s="65">
        <v>1</v>
      </c>
    </row>
    <row r="343" spans="2:11" ht="12" hidden="1" customHeight="1">
      <c r="B343" s="46" t="s">
        <v>862</v>
      </c>
      <c r="C343" s="47" t="s">
        <v>863</v>
      </c>
      <c r="D343" s="47" t="s">
        <v>130</v>
      </c>
      <c r="E343" s="48" t="s">
        <v>185</v>
      </c>
      <c r="F343" s="48" t="s">
        <v>183</v>
      </c>
      <c r="G343" s="48">
        <v>20</v>
      </c>
      <c r="H343" s="48">
        <v>20</v>
      </c>
      <c r="I343" s="49">
        <v>781070.7</v>
      </c>
      <c r="J343" s="49">
        <f t="shared" si="11"/>
        <v>39053.534999999996</v>
      </c>
      <c r="K343" s="65">
        <v>1</v>
      </c>
    </row>
    <row r="344" spans="2:11" ht="12" hidden="1" customHeight="1">
      <c r="B344" s="46" t="s">
        <v>864</v>
      </c>
      <c r="C344" s="47" t="s">
        <v>865</v>
      </c>
      <c r="D344" s="47" t="s">
        <v>107</v>
      </c>
      <c r="E344" s="48" t="s">
        <v>183</v>
      </c>
      <c r="F344" s="48" t="s">
        <v>183</v>
      </c>
      <c r="G344" s="48">
        <v>0</v>
      </c>
      <c r="H344" s="48">
        <v>0</v>
      </c>
      <c r="I344" s="49">
        <v>0</v>
      </c>
      <c r="J344" s="49" t="str">
        <f t="shared" si="11"/>
        <v/>
      </c>
      <c r="K344" s="65">
        <v>1</v>
      </c>
    </row>
    <row r="345" spans="2:11" ht="12" hidden="1" customHeight="1">
      <c r="B345" s="46" t="s">
        <v>866</v>
      </c>
      <c r="C345" s="47" t="s">
        <v>867</v>
      </c>
      <c r="D345" s="47" t="s">
        <v>107</v>
      </c>
      <c r="E345" s="48" t="s">
        <v>183</v>
      </c>
      <c r="F345" s="48" t="s">
        <v>183</v>
      </c>
      <c r="G345" s="48">
        <v>58</v>
      </c>
      <c r="H345" s="48">
        <v>58</v>
      </c>
      <c r="I345" s="49">
        <v>5372501.7000000002</v>
      </c>
      <c r="J345" s="49">
        <f t="shared" si="11"/>
        <v>92629.339655172414</v>
      </c>
      <c r="K345" s="65">
        <v>1</v>
      </c>
    </row>
    <row r="346" spans="2:11" ht="12" hidden="1" customHeight="1">
      <c r="B346" s="46" t="s">
        <v>868</v>
      </c>
      <c r="C346" s="47" t="s">
        <v>869</v>
      </c>
      <c r="D346" s="47" t="s">
        <v>129</v>
      </c>
      <c r="E346" s="48" t="s">
        <v>185</v>
      </c>
      <c r="F346" s="48" t="s">
        <v>183</v>
      </c>
      <c r="G346" s="48">
        <v>28</v>
      </c>
      <c r="H346" s="48">
        <v>28</v>
      </c>
      <c r="I346" s="49">
        <v>3294364.1</v>
      </c>
      <c r="J346" s="49">
        <f t="shared" si="11"/>
        <v>117655.86071428572</v>
      </c>
      <c r="K346" s="65">
        <v>1</v>
      </c>
    </row>
    <row r="347" spans="2:11" ht="12" hidden="1" customHeight="1">
      <c r="B347" s="46" t="s">
        <v>870</v>
      </c>
      <c r="C347" s="47" t="s">
        <v>871</v>
      </c>
      <c r="D347" s="47" t="s">
        <v>122</v>
      </c>
      <c r="E347" s="48" t="s">
        <v>185</v>
      </c>
      <c r="F347" s="48" t="s">
        <v>184</v>
      </c>
      <c r="G347" s="48">
        <v>60</v>
      </c>
      <c r="H347" s="48">
        <v>97</v>
      </c>
      <c r="I347" s="49">
        <v>5867413.7999999998</v>
      </c>
      <c r="J347" s="49">
        <f t="shared" si="11"/>
        <v>97790.23</v>
      </c>
      <c r="K347" s="65">
        <v>1</v>
      </c>
    </row>
    <row r="348" spans="2:11" ht="12" hidden="1" customHeight="1">
      <c r="B348" s="46" t="s">
        <v>872</v>
      </c>
      <c r="C348" s="47" t="s">
        <v>873</v>
      </c>
      <c r="D348" s="47" t="s">
        <v>171</v>
      </c>
      <c r="E348" s="48" t="s">
        <v>185</v>
      </c>
      <c r="F348" s="48" t="s">
        <v>183</v>
      </c>
      <c r="G348" s="48">
        <v>44</v>
      </c>
      <c r="H348" s="48">
        <v>44</v>
      </c>
      <c r="I348" s="49">
        <v>3817540.15</v>
      </c>
      <c r="J348" s="49">
        <f t="shared" si="11"/>
        <v>86762.276136363638</v>
      </c>
      <c r="K348" s="65">
        <v>1</v>
      </c>
    </row>
    <row r="349" spans="2:11" ht="12" customHeight="1">
      <c r="B349" s="46" t="s">
        <v>874</v>
      </c>
      <c r="C349" s="47" t="s">
        <v>875</v>
      </c>
      <c r="D349" s="47" t="s">
        <v>128</v>
      </c>
      <c r="E349" s="48" t="s">
        <v>185</v>
      </c>
      <c r="F349" s="48" t="s">
        <v>184</v>
      </c>
      <c r="G349" s="48">
        <v>25</v>
      </c>
      <c r="H349" s="48">
        <v>25</v>
      </c>
      <c r="I349" s="49">
        <v>3601773.39</v>
      </c>
      <c r="J349" s="49">
        <f t="shared" si="11"/>
        <v>144070.9356</v>
      </c>
      <c r="K349" s="65">
        <v>1</v>
      </c>
    </row>
    <row r="350" spans="2:11" ht="12" hidden="1" customHeight="1">
      <c r="B350" s="46" t="s">
        <v>876</v>
      </c>
      <c r="C350" s="47" t="s">
        <v>877</v>
      </c>
      <c r="D350" s="47" t="s">
        <v>146</v>
      </c>
      <c r="E350" s="48" t="s">
        <v>185</v>
      </c>
      <c r="F350" s="48" t="s">
        <v>184</v>
      </c>
      <c r="G350" s="48">
        <v>67</v>
      </c>
      <c r="H350" s="48">
        <v>75</v>
      </c>
      <c r="I350" s="49">
        <v>6684194.5800000001</v>
      </c>
      <c r="J350" s="49">
        <f t="shared" si="11"/>
        <v>99764.098208955227</v>
      </c>
      <c r="K350" s="65">
        <v>1</v>
      </c>
    </row>
    <row r="351" spans="2:11" ht="12" hidden="1" customHeight="1">
      <c r="B351" s="46" t="s">
        <v>878</v>
      </c>
      <c r="C351" s="47" t="s">
        <v>879</v>
      </c>
      <c r="D351" s="47" t="s">
        <v>174</v>
      </c>
      <c r="E351" s="48" t="s">
        <v>185</v>
      </c>
      <c r="F351" s="48" t="s">
        <v>184</v>
      </c>
      <c r="G351" s="48">
        <v>85</v>
      </c>
      <c r="H351" s="48">
        <v>100</v>
      </c>
      <c r="I351" s="49">
        <v>17276614.34</v>
      </c>
      <c r="J351" s="49">
        <f t="shared" si="11"/>
        <v>203254.28635294118</v>
      </c>
      <c r="K351" s="65">
        <v>1</v>
      </c>
    </row>
    <row r="352" spans="2:11" ht="12" hidden="1" customHeight="1">
      <c r="B352" s="46" t="s">
        <v>880</v>
      </c>
      <c r="C352" s="47" t="s">
        <v>881</v>
      </c>
      <c r="D352" s="47" t="s">
        <v>129</v>
      </c>
      <c r="E352" s="48" t="s">
        <v>183</v>
      </c>
      <c r="F352" s="48" t="s">
        <v>183</v>
      </c>
      <c r="G352" s="48">
        <v>35</v>
      </c>
      <c r="H352" s="48">
        <v>35</v>
      </c>
      <c r="I352" s="49">
        <v>1583940.27</v>
      </c>
      <c r="J352" s="49">
        <f t="shared" si="11"/>
        <v>45255.436285714284</v>
      </c>
      <c r="K352" s="65">
        <v>1</v>
      </c>
    </row>
    <row r="353" spans="2:11" ht="12" hidden="1" customHeight="1">
      <c r="B353" s="46" t="s">
        <v>882</v>
      </c>
      <c r="C353" s="47" t="s">
        <v>883</v>
      </c>
      <c r="D353" s="47" t="s">
        <v>129</v>
      </c>
      <c r="E353" s="48" t="s">
        <v>183</v>
      </c>
      <c r="F353" s="48" t="s">
        <v>183</v>
      </c>
      <c r="G353" s="48">
        <v>55</v>
      </c>
      <c r="H353" s="48">
        <v>55</v>
      </c>
      <c r="I353" s="49">
        <v>3805760.18</v>
      </c>
      <c r="J353" s="49">
        <f t="shared" si="11"/>
        <v>69195.639636363645</v>
      </c>
      <c r="K353" s="65">
        <v>1</v>
      </c>
    </row>
    <row r="354" spans="2:11" ht="12" hidden="1" customHeight="1">
      <c r="B354" s="46" t="s">
        <v>884</v>
      </c>
      <c r="C354" s="47" t="s">
        <v>885</v>
      </c>
      <c r="D354" s="47" t="s">
        <v>125</v>
      </c>
      <c r="E354" s="48" t="s">
        <v>183</v>
      </c>
      <c r="F354" s="48" t="s">
        <v>183</v>
      </c>
      <c r="G354" s="48">
        <v>25</v>
      </c>
      <c r="H354" s="48">
        <v>25</v>
      </c>
      <c r="I354" s="49">
        <v>1729643.98</v>
      </c>
      <c r="J354" s="49">
        <f t="shared" si="11"/>
        <v>69185.7592</v>
      </c>
      <c r="K354" s="65">
        <v>1</v>
      </c>
    </row>
    <row r="355" spans="2:11" ht="12" hidden="1" customHeight="1">
      <c r="B355" s="46" t="s">
        <v>886</v>
      </c>
      <c r="C355" s="47" t="s">
        <v>887</v>
      </c>
      <c r="D355" s="47" t="s">
        <v>125</v>
      </c>
      <c r="E355" s="48" t="s">
        <v>183</v>
      </c>
      <c r="F355" s="48" t="s">
        <v>183</v>
      </c>
      <c r="G355" s="48">
        <v>40</v>
      </c>
      <c r="H355" s="48">
        <v>40</v>
      </c>
      <c r="I355" s="49">
        <v>1427062.13</v>
      </c>
      <c r="J355" s="49">
        <f t="shared" si="11"/>
        <v>35676.553249999997</v>
      </c>
      <c r="K355" s="65">
        <v>1</v>
      </c>
    </row>
    <row r="356" spans="2:11" ht="12" hidden="1" customHeight="1">
      <c r="B356" s="46" t="s">
        <v>888</v>
      </c>
      <c r="C356" s="47" t="s">
        <v>889</v>
      </c>
      <c r="D356" s="47" t="s">
        <v>144</v>
      </c>
      <c r="E356" s="48" t="s">
        <v>185</v>
      </c>
      <c r="F356" s="48" t="s">
        <v>184</v>
      </c>
      <c r="G356" s="48">
        <v>30</v>
      </c>
      <c r="H356" s="48">
        <v>30</v>
      </c>
      <c r="I356" s="49">
        <v>4722370.43</v>
      </c>
      <c r="J356" s="49">
        <f t="shared" si="11"/>
        <v>157412.34766666667</v>
      </c>
      <c r="K356" s="65">
        <v>1</v>
      </c>
    </row>
    <row r="357" spans="2:11" ht="12" hidden="1" customHeight="1">
      <c r="B357" s="46" t="s">
        <v>890</v>
      </c>
      <c r="C357" s="47" t="s">
        <v>891</v>
      </c>
      <c r="D357" s="47" t="s">
        <v>166</v>
      </c>
      <c r="E357" s="48" t="s">
        <v>183</v>
      </c>
      <c r="F357" s="48" t="s">
        <v>184</v>
      </c>
      <c r="G357" s="48">
        <v>81</v>
      </c>
      <c r="H357" s="48">
        <v>81</v>
      </c>
      <c r="I357" s="49">
        <v>4800052.8899999997</v>
      </c>
      <c r="J357" s="49">
        <f t="shared" si="11"/>
        <v>59259.912222222221</v>
      </c>
      <c r="K357" s="65">
        <v>1</v>
      </c>
    </row>
    <row r="358" spans="2:11" ht="12" hidden="1" customHeight="1">
      <c r="B358" s="46" t="s">
        <v>892</v>
      </c>
      <c r="C358" s="47" t="s">
        <v>893</v>
      </c>
      <c r="D358" s="47" t="s">
        <v>120</v>
      </c>
      <c r="E358" s="48" t="s">
        <v>185</v>
      </c>
      <c r="F358" s="48" t="s">
        <v>184</v>
      </c>
      <c r="G358" s="48">
        <v>40</v>
      </c>
      <c r="H358" s="48">
        <v>41</v>
      </c>
      <c r="I358" s="49">
        <v>4253041.5199999996</v>
      </c>
      <c r="J358" s="49">
        <f t="shared" si="11"/>
        <v>106326.03799999999</v>
      </c>
      <c r="K358" s="65">
        <v>1</v>
      </c>
    </row>
    <row r="359" spans="2:11" ht="12" hidden="1" customHeight="1">
      <c r="B359" s="46" t="s">
        <v>894</v>
      </c>
      <c r="C359" s="47" t="s">
        <v>895</v>
      </c>
      <c r="D359" s="47" t="s">
        <v>116</v>
      </c>
      <c r="E359" s="48" t="s">
        <v>185</v>
      </c>
      <c r="F359" s="48" t="s">
        <v>184</v>
      </c>
      <c r="G359" s="48">
        <v>79</v>
      </c>
      <c r="H359" s="48">
        <v>88</v>
      </c>
      <c r="I359" s="49">
        <v>12322427.18</v>
      </c>
      <c r="J359" s="49">
        <f t="shared" si="11"/>
        <v>155980.09088607595</v>
      </c>
      <c r="K359" s="65">
        <v>1</v>
      </c>
    </row>
    <row r="360" spans="2:11" ht="12" hidden="1" customHeight="1">
      <c r="B360" s="46" t="s">
        <v>896</v>
      </c>
      <c r="C360" s="47" t="s">
        <v>897</v>
      </c>
      <c r="D360" s="47" t="s">
        <v>39</v>
      </c>
      <c r="E360" s="48" t="s">
        <v>185</v>
      </c>
      <c r="F360" s="48" t="s">
        <v>184</v>
      </c>
      <c r="G360" s="48">
        <v>20</v>
      </c>
      <c r="H360" s="48">
        <v>20</v>
      </c>
      <c r="I360" s="49">
        <v>1677038.99</v>
      </c>
      <c r="J360" s="49">
        <f t="shared" si="11"/>
        <v>83851.949500000002</v>
      </c>
      <c r="K360" s="65">
        <v>1</v>
      </c>
    </row>
    <row r="361" spans="2:11" ht="12" hidden="1" customHeight="1">
      <c r="B361" s="46" t="s">
        <v>898</v>
      </c>
      <c r="C361" s="47" t="s">
        <v>899</v>
      </c>
      <c r="D361" s="47" t="s">
        <v>494</v>
      </c>
      <c r="E361" s="48" t="s">
        <v>183</v>
      </c>
      <c r="F361" s="48" t="s">
        <v>183</v>
      </c>
      <c r="G361" s="48">
        <v>30</v>
      </c>
      <c r="H361" s="48">
        <v>30</v>
      </c>
      <c r="I361" s="49">
        <v>1232853.25</v>
      </c>
      <c r="J361" s="49">
        <f t="shared" si="11"/>
        <v>41095.10833333333</v>
      </c>
      <c r="K361" s="65">
        <v>1</v>
      </c>
    </row>
    <row r="362" spans="2:11" ht="12" hidden="1" customHeight="1">
      <c r="B362" s="46" t="s">
        <v>900</v>
      </c>
      <c r="C362" s="47" t="s">
        <v>901</v>
      </c>
      <c r="D362" s="47" t="s">
        <v>166</v>
      </c>
      <c r="E362" s="48" t="s">
        <v>185</v>
      </c>
      <c r="F362" s="48" t="s">
        <v>184</v>
      </c>
      <c r="G362" s="48">
        <v>40</v>
      </c>
      <c r="H362" s="48">
        <v>40</v>
      </c>
      <c r="I362" s="49">
        <v>695204.44</v>
      </c>
      <c r="J362" s="49">
        <f t="shared" si="11"/>
        <v>17380.110999999997</v>
      </c>
      <c r="K362" s="65">
        <v>1</v>
      </c>
    </row>
    <row r="363" spans="2:11" ht="12" hidden="1" customHeight="1">
      <c r="B363" s="46" t="s">
        <v>902</v>
      </c>
      <c r="C363" s="47" t="s">
        <v>903</v>
      </c>
      <c r="D363" s="47" t="s">
        <v>175</v>
      </c>
      <c r="E363" s="48" t="s">
        <v>185</v>
      </c>
      <c r="F363" s="48" t="s">
        <v>184</v>
      </c>
      <c r="G363" s="48">
        <v>52</v>
      </c>
      <c r="H363" s="48">
        <v>52</v>
      </c>
      <c r="I363" s="49">
        <v>4196735.24</v>
      </c>
      <c r="J363" s="49">
        <f t="shared" si="11"/>
        <v>80706.446923076932</v>
      </c>
      <c r="K363" s="65">
        <v>1</v>
      </c>
    </row>
    <row r="364" spans="2:11" ht="12" hidden="1" customHeight="1">
      <c r="B364" s="46" t="s">
        <v>904</v>
      </c>
      <c r="C364" s="47" t="s">
        <v>905</v>
      </c>
      <c r="D364" s="47" t="s">
        <v>179</v>
      </c>
      <c r="E364" s="48" t="s">
        <v>185</v>
      </c>
      <c r="F364" s="48" t="s">
        <v>183</v>
      </c>
      <c r="G364" s="48">
        <v>19</v>
      </c>
      <c r="H364" s="48">
        <v>19</v>
      </c>
      <c r="I364" s="49">
        <v>969061.75</v>
      </c>
      <c r="J364" s="49">
        <f t="shared" si="11"/>
        <v>51003.25</v>
      </c>
      <c r="K364" s="65">
        <v>1</v>
      </c>
    </row>
    <row r="365" spans="2:11" ht="12" hidden="1" customHeight="1">
      <c r="B365" s="46" t="s">
        <v>906</v>
      </c>
      <c r="C365" s="47" t="s">
        <v>907</v>
      </c>
      <c r="D365" s="47" t="s">
        <v>149</v>
      </c>
      <c r="E365" s="48" t="s">
        <v>185</v>
      </c>
      <c r="F365" s="48" t="s">
        <v>183</v>
      </c>
      <c r="G365" s="48">
        <v>33</v>
      </c>
      <c r="H365" s="48">
        <v>33</v>
      </c>
      <c r="I365" s="49">
        <v>2754792.7</v>
      </c>
      <c r="J365" s="49">
        <f t="shared" si="11"/>
        <v>83478.566666666666</v>
      </c>
      <c r="K365" s="65">
        <v>1</v>
      </c>
    </row>
    <row r="366" spans="2:11" ht="12" hidden="1" customHeight="1">
      <c r="B366" s="46" t="s">
        <v>908</v>
      </c>
      <c r="C366" s="47" t="s">
        <v>909</v>
      </c>
      <c r="D366" s="47" t="s">
        <v>148</v>
      </c>
      <c r="E366" s="48" t="s">
        <v>183</v>
      </c>
      <c r="F366" s="48" t="s">
        <v>183</v>
      </c>
      <c r="G366" s="48">
        <v>34</v>
      </c>
      <c r="H366" s="48">
        <v>34</v>
      </c>
      <c r="I366" s="49">
        <v>2303634.54</v>
      </c>
      <c r="J366" s="49">
        <f t="shared" si="11"/>
        <v>67753.957058823536</v>
      </c>
      <c r="K366" s="65">
        <v>1</v>
      </c>
    </row>
    <row r="367" spans="2:11" ht="12" hidden="1" customHeight="1">
      <c r="B367" s="46" t="s">
        <v>910</v>
      </c>
      <c r="C367" s="47" t="s">
        <v>911</v>
      </c>
      <c r="D367" s="47" t="s">
        <v>105</v>
      </c>
      <c r="E367" s="48" t="s">
        <v>185</v>
      </c>
      <c r="F367" s="48" t="s">
        <v>183</v>
      </c>
      <c r="G367" s="48">
        <v>54</v>
      </c>
      <c r="H367" s="48">
        <v>54</v>
      </c>
      <c r="I367" s="49">
        <v>3948291.75</v>
      </c>
      <c r="J367" s="49">
        <f t="shared" si="11"/>
        <v>73116.513888888891</v>
      </c>
      <c r="K367" s="65">
        <v>1</v>
      </c>
    </row>
    <row r="368" spans="2:11" ht="12" hidden="1" customHeight="1">
      <c r="B368" s="46" t="s">
        <v>912</v>
      </c>
      <c r="C368" s="47" t="s">
        <v>913</v>
      </c>
      <c r="D368" s="47" t="s">
        <v>154</v>
      </c>
      <c r="E368" s="48" t="s">
        <v>183</v>
      </c>
      <c r="F368" s="48" t="s">
        <v>184</v>
      </c>
      <c r="G368" s="48">
        <v>34</v>
      </c>
      <c r="H368" s="48">
        <v>34</v>
      </c>
      <c r="I368" s="49">
        <v>753268.58</v>
      </c>
      <c r="J368" s="49">
        <f t="shared" si="11"/>
        <v>22154.958235294118</v>
      </c>
      <c r="K368" s="65">
        <v>1</v>
      </c>
    </row>
    <row r="369" spans="2:11" ht="12" hidden="1" customHeight="1">
      <c r="B369" s="46" t="s">
        <v>914</v>
      </c>
      <c r="C369" s="47" t="s">
        <v>915</v>
      </c>
      <c r="D369" s="47" t="s">
        <v>120</v>
      </c>
      <c r="E369" s="48" t="s">
        <v>183</v>
      </c>
      <c r="F369" s="48" t="s">
        <v>184</v>
      </c>
      <c r="G369" s="48">
        <v>0</v>
      </c>
      <c r="H369" s="48">
        <v>0</v>
      </c>
      <c r="I369" s="49">
        <v>0</v>
      </c>
      <c r="J369" s="49" t="str">
        <f t="shared" si="11"/>
        <v/>
      </c>
      <c r="K369" s="65">
        <v>1</v>
      </c>
    </row>
    <row r="370" spans="2:11" ht="12" hidden="1" customHeight="1">
      <c r="B370" s="46" t="s">
        <v>916</v>
      </c>
      <c r="C370" s="47" t="s">
        <v>917</v>
      </c>
      <c r="D370" s="47" t="s">
        <v>120</v>
      </c>
      <c r="E370" s="48" t="s">
        <v>183</v>
      </c>
      <c r="F370" s="48" t="s">
        <v>184</v>
      </c>
      <c r="G370" s="48">
        <v>68</v>
      </c>
      <c r="H370" s="48">
        <v>68</v>
      </c>
      <c r="I370" s="49">
        <v>4326189.91</v>
      </c>
      <c r="J370" s="49">
        <f t="shared" si="11"/>
        <v>63620.439852941177</v>
      </c>
      <c r="K370" s="65">
        <v>1</v>
      </c>
    </row>
    <row r="371" spans="2:11" ht="12" hidden="1" customHeight="1">
      <c r="B371" s="46" t="s">
        <v>918</v>
      </c>
      <c r="C371" s="47" t="s">
        <v>919</v>
      </c>
      <c r="D371" s="47" t="s">
        <v>39</v>
      </c>
      <c r="E371" s="48" t="s">
        <v>183</v>
      </c>
      <c r="F371" s="48" t="s">
        <v>184</v>
      </c>
      <c r="G371" s="48">
        <v>0</v>
      </c>
      <c r="H371" s="48">
        <v>0</v>
      </c>
      <c r="I371" s="49">
        <v>0</v>
      </c>
      <c r="J371" s="49" t="str">
        <f t="shared" si="11"/>
        <v/>
      </c>
      <c r="K371" s="65">
        <v>1</v>
      </c>
    </row>
    <row r="372" spans="2:11" ht="12" hidden="1" customHeight="1">
      <c r="B372" s="46" t="s">
        <v>920</v>
      </c>
      <c r="C372" s="47" t="s">
        <v>921</v>
      </c>
      <c r="D372" s="47" t="s">
        <v>133</v>
      </c>
      <c r="E372" s="48" t="s">
        <v>185</v>
      </c>
      <c r="F372" s="48" t="s">
        <v>184</v>
      </c>
      <c r="G372" s="48">
        <v>40</v>
      </c>
      <c r="H372" s="48">
        <v>59</v>
      </c>
      <c r="I372" s="49">
        <v>2879390.62</v>
      </c>
      <c r="J372" s="49">
        <f t="shared" si="11"/>
        <v>71984.765500000009</v>
      </c>
      <c r="K372" s="65">
        <v>1</v>
      </c>
    </row>
    <row r="373" spans="2:11" ht="12" hidden="1" customHeight="1">
      <c r="B373" s="46" t="s">
        <v>922</v>
      </c>
      <c r="C373" s="47" t="s">
        <v>923</v>
      </c>
      <c r="D373" s="47" t="s">
        <v>145</v>
      </c>
      <c r="E373" s="48" t="s">
        <v>183</v>
      </c>
      <c r="F373" s="48" t="s">
        <v>184</v>
      </c>
      <c r="G373" s="48">
        <v>70</v>
      </c>
      <c r="H373" s="48">
        <v>70</v>
      </c>
      <c r="I373" s="49">
        <v>3338538.07</v>
      </c>
      <c r="J373" s="49">
        <f t="shared" si="11"/>
        <v>47693.400999999998</v>
      </c>
      <c r="K373" s="65">
        <v>1</v>
      </c>
    </row>
    <row r="374" spans="2:11" ht="12" hidden="1" customHeight="1">
      <c r="B374" s="46" t="s">
        <v>924</v>
      </c>
      <c r="C374" s="47" t="s">
        <v>925</v>
      </c>
      <c r="D374" s="47" t="s">
        <v>127</v>
      </c>
      <c r="E374" s="48" t="s">
        <v>185</v>
      </c>
      <c r="F374" s="48" t="s">
        <v>183</v>
      </c>
      <c r="G374" s="48">
        <v>35</v>
      </c>
      <c r="H374" s="48">
        <v>35</v>
      </c>
      <c r="I374" s="49">
        <v>3404304.36</v>
      </c>
      <c r="J374" s="49">
        <f t="shared" si="11"/>
        <v>97265.838857142851</v>
      </c>
      <c r="K374" s="65">
        <v>1</v>
      </c>
    </row>
    <row r="375" spans="2:11" ht="12" hidden="1" customHeight="1">
      <c r="B375" s="46" t="s">
        <v>926</v>
      </c>
      <c r="C375" s="47" t="s">
        <v>927</v>
      </c>
      <c r="D375" s="47" t="s">
        <v>111</v>
      </c>
      <c r="E375" s="48" t="s">
        <v>185</v>
      </c>
      <c r="F375" s="48" t="s">
        <v>184</v>
      </c>
      <c r="G375" s="48">
        <v>42</v>
      </c>
      <c r="H375" s="48">
        <v>42</v>
      </c>
      <c r="I375" s="49">
        <v>4363150.9400000004</v>
      </c>
      <c r="J375" s="49">
        <f t="shared" si="11"/>
        <v>103884.54619047621</v>
      </c>
      <c r="K375" s="65">
        <v>1</v>
      </c>
    </row>
    <row r="376" spans="2:11" ht="12" hidden="1" customHeight="1">
      <c r="B376" s="46" t="s">
        <v>928</v>
      </c>
      <c r="C376" s="47" t="s">
        <v>929</v>
      </c>
      <c r="D376" s="47" t="s">
        <v>122</v>
      </c>
      <c r="E376" s="48" t="s">
        <v>185</v>
      </c>
      <c r="F376" s="48" t="s">
        <v>184</v>
      </c>
      <c r="G376" s="48">
        <v>45</v>
      </c>
      <c r="H376" s="48">
        <v>45</v>
      </c>
      <c r="I376" s="49">
        <v>3837411.99</v>
      </c>
      <c r="J376" s="49">
        <f t="shared" si="11"/>
        <v>85275.822</v>
      </c>
      <c r="K376" s="65">
        <v>1</v>
      </c>
    </row>
    <row r="377" spans="2:11" ht="12" hidden="1" customHeight="1">
      <c r="B377" s="46" t="s">
        <v>930</v>
      </c>
      <c r="C377" s="47" t="s">
        <v>931</v>
      </c>
      <c r="D377" s="47" t="s">
        <v>105</v>
      </c>
      <c r="E377" s="48" t="s">
        <v>185</v>
      </c>
      <c r="F377" s="48" t="s">
        <v>183</v>
      </c>
      <c r="G377" s="48">
        <v>20</v>
      </c>
      <c r="H377" s="48">
        <v>20</v>
      </c>
      <c r="I377" s="49">
        <v>940570.89</v>
      </c>
      <c r="J377" s="49">
        <f t="shared" si="11"/>
        <v>47028.544500000004</v>
      </c>
      <c r="K377" s="65">
        <v>1</v>
      </c>
    </row>
    <row r="378" spans="2:11" ht="12" hidden="1" customHeight="1">
      <c r="B378" s="46" t="s">
        <v>932</v>
      </c>
      <c r="C378" s="47" t="s">
        <v>933</v>
      </c>
      <c r="D378" s="47" t="s">
        <v>169</v>
      </c>
      <c r="E378" s="48" t="s">
        <v>183</v>
      </c>
      <c r="F378" s="48" t="s">
        <v>183</v>
      </c>
      <c r="G378" s="48">
        <v>50</v>
      </c>
      <c r="H378" s="48">
        <v>50</v>
      </c>
      <c r="I378" s="49">
        <v>2320082.38</v>
      </c>
      <c r="J378" s="49">
        <f t="shared" si="11"/>
        <v>46401.647599999997</v>
      </c>
      <c r="K378" s="65">
        <v>1</v>
      </c>
    </row>
    <row r="379" spans="2:11" ht="12" hidden="1" customHeight="1">
      <c r="B379" s="46" t="s">
        <v>934</v>
      </c>
      <c r="C379" s="47" t="s">
        <v>935</v>
      </c>
      <c r="D379" s="47" t="s">
        <v>120</v>
      </c>
      <c r="E379" s="48" t="s">
        <v>185</v>
      </c>
      <c r="F379" s="48" t="s">
        <v>184</v>
      </c>
      <c r="G379" s="48">
        <v>45</v>
      </c>
      <c r="H379" s="48">
        <v>60</v>
      </c>
      <c r="I379" s="49">
        <v>5536709.8700000001</v>
      </c>
      <c r="J379" s="49">
        <f t="shared" si="11"/>
        <v>123037.99711111111</v>
      </c>
      <c r="K379" s="65">
        <v>1</v>
      </c>
    </row>
    <row r="380" spans="2:11" ht="12" hidden="1" customHeight="1">
      <c r="B380" s="46" t="s">
        <v>936</v>
      </c>
      <c r="C380" s="47" t="s">
        <v>937</v>
      </c>
      <c r="D380" s="47" t="s">
        <v>155</v>
      </c>
      <c r="E380" s="48" t="s">
        <v>183</v>
      </c>
      <c r="F380" s="48" t="s">
        <v>184</v>
      </c>
      <c r="G380" s="48">
        <v>48</v>
      </c>
      <c r="H380" s="48">
        <v>48</v>
      </c>
      <c r="I380" s="49">
        <v>1606045.98</v>
      </c>
      <c r="J380" s="49">
        <f t="shared" si="11"/>
        <v>33459.291250000002</v>
      </c>
      <c r="K380" s="65">
        <v>1</v>
      </c>
    </row>
    <row r="381" spans="2:11" ht="12" hidden="1" customHeight="1">
      <c r="B381" s="46" t="s">
        <v>938</v>
      </c>
      <c r="C381" s="47" t="s">
        <v>939</v>
      </c>
      <c r="D381" s="47" t="s">
        <v>155</v>
      </c>
      <c r="E381" s="48" t="s">
        <v>185</v>
      </c>
      <c r="F381" s="48" t="s">
        <v>184</v>
      </c>
      <c r="G381" s="48">
        <v>70</v>
      </c>
      <c r="H381" s="48">
        <v>70</v>
      </c>
      <c r="I381" s="49">
        <v>11450487.01</v>
      </c>
      <c r="J381" s="49">
        <f t="shared" si="11"/>
        <v>163578.38585714286</v>
      </c>
      <c r="K381" s="65">
        <v>1</v>
      </c>
    </row>
    <row r="382" spans="2:11" ht="12" hidden="1" customHeight="1">
      <c r="B382" s="46" t="s">
        <v>940</v>
      </c>
      <c r="C382" s="47" t="s">
        <v>941</v>
      </c>
      <c r="D382" s="47" t="s">
        <v>155</v>
      </c>
      <c r="E382" s="48" t="s">
        <v>183</v>
      </c>
      <c r="F382" s="48" t="s">
        <v>184</v>
      </c>
      <c r="G382" s="48">
        <v>75</v>
      </c>
      <c r="H382" s="48">
        <v>75</v>
      </c>
      <c r="I382" s="49">
        <v>4913021.07</v>
      </c>
      <c r="J382" s="49">
        <f t="shared" si="11"/>
        <v>65506.947600000007</v>
      </c>
      <c r="K382" s="65">
        <v>1</v>
      </c>
    </row>
    <row r="383" spans="2:11" ht="12" hidden="1" customHeight="1">
      <c r="B383" s="46" t="s">
        <v>942</v>
      </c>
      <c r="C383" s="47" t="s">
        <v>943</v>
      </c>
      <c r="D383" s="47" t="s">
        <v>124</v>
      </c>
      <c r="E383" s="48" t="s">
        <v>185</v>
      </c>
      <c r="F383" s="48" t="s">
        <v>184</v>
      </c>
      <c r="G383" s="48">
        <v>103</v>
      </c>
      <c r="H383" s="48">
        <v>103</v>
      </c>
      <c r="I383" s="49">
        <v>16265684.189999999</v>
      </c>
      <c r="J383" s="49">
        <f t="shared" si="11"/>
        <v>157919.26398058253</v>
      </c>
      <c r="K383" s="65">
        <v>1</v>
      </c>
    </row>
    <row r="384" spans="2:11" ht="12" hidden="1" customHeight="1">
      <c r="B384" s="46" t="s">
        <v>944</v>
      </c>
      <c r="C384" s="47" t="s">
        <v>945</v>
      </c>
      <c r="D384" s="47" t="s">
        <v>135</v>
      </c>
      <c r="E384" s="48" t="s">
        <v>185</v>
      </c>
      <c r="F384" s="48" t="s">
        <v>184</v>
      </c>
      <c r="G384" s="48">
        <v>71</v>
      </c>
      <c r="H384" s="48">
        <v>71</v>
      </c>
      <c r="I384" s="49">
        <v>13861476.699999999</v>
      </c>
      <c r="J384" s="49">
        <f t="shared" si="11"/>
        <v>195232.0661971831</v>
      </c>
      <c r="K384" s="65">
        <v>1</v>
      </c>
    </row>
    <row r="385" spans="2:11" ht="12" hidden="1" customHeight="1">
      <c r="B385" s="46" t="s">
        <v>946</v>
      </c>
      <c r="C385" s="47" t="s">
        <v>947</v>
      </c>
      <c r="D385" s="47" t="s">
        <v>41</v>
      </c>
      <c r="E385" s="48" t="s">
        <v>185</v>
      </c>
      <c r="F385" s="48" t="s">
        <v>183</v>
      </c>
      <c r="G385" s="48">
        <v>20</v>
      </c>
      <c r="H385" s="48">
        <v>35</v>
      </c>
      <c r="I385" s="49">
        <v>2658543.84</v>
      </c>
      <c r="J385" s="49">
        <f t="shared" si="11"/>
        <v>132927.19199999998</v>
      </c>
      <c r="K385" s="65">
        <v>1</v>
      </c>
    </row>
    <row r="386" spans="2:11" ht="12" hidden="1" customHeight="1">
      <c r="B386" s="46" t="s">
        <v>948</v>
      </c>
      <c r="C386" s="47" t="s">
        <v>949</v>
      </c>
      <c r="D386" s="47" t="s">
        <v>110</v>
      </c>
      <c r="E386" s="48" t="s">
        <v>185</v>
      </c>
      <c r="F386" s="48" t="s">
        <v>183</v>
      </c>
      <c r="G386" s="48">
        <v>30</v>
      </c>
      <c r="H386" s="48">
        <v>30</v>
      </c>
      <c r="I386" s="49">
        <v>1924473.43</v>
      </c>
      <c r="J386" s="49">
        <f t="shared" si="11"/>
        <v>64149.114333333331</v>
      </c>
      <c r="K386" s="65">
        <v>1</v>
      </c>
    </row>
    <row r="387" spans="2:11" ht="12" hidden="1" customHeight="1">
      <c r="B387" s="46" t="s">
        <v>950</v>
      </c>
      <c r="C387" s="47" t="s">
        <v>951</v>
      </c>
      <c r="D387" s="47" t="s">
        <v>29</v>
      </c>
      <c r="E387" s="48" t="s">
        <v>185</v>
      </c>
      <c r="F387" s="48" t="s">
        <v>183</v>
      </c>
      <c r="G387" s="48">
        <v>18</v>
      </c>
      <c r="H387" s="48">
        <v>18</v>
      </c>
      <c r="I387" s="49">
        <v>1097192.44</v>
      </c>
      <c r="J387" s="49">
        <f t="shared" si="11"/>
        <v>60955.135555555549</v>
      </c>
      <c r="K387" s="65">
        <v>1</v>
      </c>
    </row>
    <row r="388" spans="2:11" ht="12" hidden="1" customHeight="1">
      <c r="B388" s="46" t="s">
        <v>952</v>
      </c>
      <c r="C388" s="47" t="s">
        <v>953</v>
      </c>
      <c r="D388" s="47" t="s">
        <v>152</v>
      </c>
      <c r="E388" s="48" t="s">
        <v>185</v>
      </c>
      <c r="F388" s="48" t="s">
        <v>184</v>
      </c>
      <c r="G388" s="48">
        <v>60</v>
      </c>
      <c r="H388" s="48">
        <v>70</v>
      </c>
      <c r="I388" s="49">
        <v>7661436.0300000003</v>
      </c>
      <c r="J388" s="49">
        <f t="shared" si="11"/>
        <v>127690.6005</v>
      </c>
      <c r="K388" s="65">
        <v>1</v>
      </c>
    </row>
    <row r="389" spans="2:11" ht="12" hidden="1" customHeight="1">
      <c r="B389" s="46" t="s">
        <v>954</v>
      </c>
      <c r="C389" s="47" t="s">
        <v>955</v>
      </c>
      <c r="D389" s="47" t="s">
        <v>134</v>
      </c>
      <c r="E389" s="48" t="s">
        <v>185</v>
      </c>
      <c r="F389" s="48" t="s">
        <v>183</v>
      </c>
      <c r="G389" s="48">
        <v>0</v>
      </c>
      <c r="H389" s="48">
        <v>0</v>
      </c>
      <c r="I389" s="49">
        <v>0</v>
      </c>
      <c r="J389" s="49" t="str">
        <f t="shared" ref="J389:J452" si="12">IF(I389&gt;0,I389/G389,"")</f>
        <v/>
      </c>
      <c r="K389" s="65">
        <v>1</v>
      </c>
    </row>
    <row r="390" spans="2:11" ht="12" hidden="1" customHeight="1">
      <c r="B390" s="46" t="s">
        <v>956</v>
      </c>
      <c r="C390" s="47" t="s">
        <v>957</v>
      </c>
      <c r="D390" s="47" t="s">
        <v>135</v>
      </c>
      <c r="E390" s="48" t="s">
        <v>185</v>
      </c>
      <c r="F390" s="48" t="s">
        <v>184</v>
      </c>
      <c r="G390" s="48">
        <v>31</v>
      </c>
      <c r="H390" s="48">
        <v>31</v>
      </c>
      <c r="I390" s="49">
        <v>5165450.71</v>
      </c>
      <c r="J390" s="49">
        <f t="shared" si="12"/>
        <v>166627.44225806452</v>
      </c>
      <c r="K390" s="65">
        <v>1</v>
      </c>
    </row>
    <row r="391" spans="2:11" ht="12" hidden="1" customHeight="1">
      <c r="B391" s="46" t="s">
        <v>958</v>
      </c>
      <c r="C391" s="47" t="s">
        <v>959</v>
      </c>
      <c r="D391" s="47" t="s">
        <v>137</v>
      </c>
      <c r="E391" s="48" t="s">
        <v>185</v>
      </c>
      <c r="F391" s="48" t="s">
        <v>184</v>
      </c>
      <c r="G391" s="48">
        <v>76</v>
      </c>
      <c r="H391" s="48">
        <v>76</v>
      </c>
      <c r="I391" s="49">
        <v>7870656.8300000001</v>
      </c>
      <c r="J391" s="49">
        <f t="shared" si="12"/>
        <v>103561.27407894738</v>
      </c>
      <c r="K391" s="65">
        <v>1</v>
      </c>
    </row>
    <row r="392" spans="2:11" ht="12" hidden="1" customHeight="1">
      <c r="B392" s="46" t="s">
        <v>960</v>
      </c>
      <c r="C392" s="47" t="s">
        <v>961</v>
      </c>
      <c r="D392" s="47" t="s">
        <v>39</v>
      </c>
      <c r="E392" s="48" t="s">
        <v>183</v>
      </c>
      <c r="F392" s="48" t="s">
        <v>184</v>
      </c>
      <c r="G392" s="48">
        <v>80</v>
      </c>
      <c r="H392" s="48">
        <v>80</v>
      </c>
      <c r="I392" s="49">
        <v>4258043.4800000004</v>
      </c>
      <c r="J392" s="49">
        <f t="shared" si="12"/>
        <v>53225.543500000007</v>
      </c>
      <c r="K392" s="65">
        <v>1</v>
      </c>
    </row>
    <row r="393" spans="2:11" ht="12" hidden="1" customHeight="1">
      <c r="B393" s="46" t="s">
        <v>962</v>
      </c>
      <c r="C393" s="47" t="s">
        <v>963</v>
      </c>
      <c r="D393" s="47" t="s">
        <v>33</v>
      </c>
      <c r="E393" s="48" t="s">
        <v>185</v>
      </c>
      <c r="F393" s="48" t="s">
        <v>183</v>
      </c>
      <c r="G393" s="48">
        <v>0</v>
      </c>
      <c r="H393" s="48">
        <v>0</v>
      </c>
      <c r="I393" s="49">
        <v>0</v>
      </c>
      <c r="J393" s="49" t="str">
        <f t="shared" si="12"/>
        <v/>
      </c>
      <c r="K393" s="65">
        <v>1</v>
      </c>
    </row>
    <row r="394" spans="2:11" ht="12" hidden="1" customHeight="1">
      <c r="B394" s="46" t="s">
        <v>962</v>
      </c>
      <c r="C394" s="47" t="s">
        <v>963</v>
      </c>
      <c r="D394" s="47" t="s">
        <v>33</v>
      </c>
      <c r="E394" s="48" t="s">
        <v>185</v>
      </c>
      <c r="F394" s="48" t="s">
        <v>183</v>
      </c>
      <c r="G394" s="48">
        <v>16</v>
      </c>
      <c r="H394" s="48">
        <v>16</v>
      </c>
      <c r="I394" s="49">
        <v>1231368.55</v>
      </c>
      <c r="J394" s="49">
        <f t="shared" si="12"/>
        <v>76960.534375000003</v>
      </c>
      <c r="K394" s="65">
        <v>1</v>
      </c>
    </row>
    <row r="395" spans="2:11" ht="12" hidden="1" customHeight="1">
      <c r="B395" s="46" t="s">
        <v>964</v>
      </c>
      <c r="C395" s="47" t="s">
        <v>965</v>
      </c>
      <c r="D395" s="47" t="s">
        <v>155</v>
      </c>
      <c r="E395" s="48" t="s">
        <v>185</v>
      </c>
      <c r="F395" s="48" t="s">
        <v>184</v>
      </c>
      <c r="G395" s="48">
        <v>30</v>
      </c>
      <c r="H395" s="48">
        <v>30</v>
      </c>
      <c r="I395" s="49">
        <v>3282769.81</v>
      </c>
      <c r="J395" s="49">
        <f t="shared" si="12"/>
        <v>109425.66033333333</v>
      </c>
      <c r="K395" s="65">
        <v>1</v>
      </c>
    </row>
    <row r="396" spans="2:11" ht="12" hidden="1" customHeight="1">
      <c r="B396" s="46" t="s">
        <v>966</v>
      </c>
      <c r="C396" s="47" t="s">
        <v>967</v>
      </c>
      <c r="D396" s="47" t="s">
        <v>155</v>
      </c>
      <c r="E396" s="48" t="s">
        <v>183</v>
      </c>
      <c r="F396" s="48" t="s">
        <v>184</v>
      </c>
      <c r="G396" s="48">
        <v>80</v>
      </c>
      <c r="H396" s="48">
        <v>100</v>
      </c>
      <c r="I396" s="49">
        <v>5121484.5999999996</v>
      </c>
      <c r="J396" s="49">
        <f t="shared" si="12"/>
        <v>64018.557499999995</v>
      </c>
      <c r="K396" s="65">
        <v>1</v>
      </c>
    </row>
    <row r="397" spans="2:11" ht="12" hidden="1" customHeight="1">
      <c r="B397" s="46" t="s">
        <v>968</v>
      </c>
      <c r="C397" s="47" t="s">
        <v>969</v>
      </c>
      <c r="D397" s="47" t="s">
        <v>172</v>
      </c>
      <c r="E397" s="48" t="s">
        <v>183</v>
      </c>
      <c r="F397" s="48" t="s">
        <v>183</v>
      </c>
      <c r="G397" s="48">
        <v>0</v>
      </c>
      <c r="H397" s="48">
        <v>0</v>
      </c>
      <c r="I397" s="49">
        <v>0</v>
      </c>
      <c r="J397" s="49" t="str">
        <f t="shared" si="12"/>
        <v/>
      </c>
      <c r="K397" s="65">
        <v>1</v>
      </c>
    </row>
    <row r="398" spans="2:11" ht="12" hidden="1" customHeight="1">
      <c r="B398" s="46" t="s">
        <v>970</v>
      </c>
      <c r="C398" s="47" t="s">
        <v>971</v>
      </c>
      <c r="D398" s="47" t="s">
        <v>172</v>
      </c>
      <c r="E398" s="48" t="s">
        <v>183</v>
      </c>
      <c r="F398" s="48" t="s">
        <v>183</v>
      </c>
      <c r="G398" s="48">
        <v>70</v>
      </c>
      <c r="H398" s="48">
        <v>70</v>
      </c>
      <c r="I398" s="49">
        <v>6057972.1799999997</v>
      </c>
      <c r="J398" s="49">
        <f t="shared" si="12"/>
        <v>86542.459714285709</v>
      </c>
      <c r="K398" s="65">
        <v>1</v>
      </c>
    </row>
    <row r="399" spans="2:11" ht="12" hidden="1" customHeight="1">
      <c r="B399" s="46" t="s">
        <v>972</v>
      </c>
      <c r="C399" s="47" t="s">
        <v>973</v>
      </c>
      <c r="D399" s="47" t="s">
        <v>175</v>
      </c>
      <c r="E399" s="48" t="s">
        <v>185</v>
      </c>
      <c r="F399" s="48" t="s">
        <v>184</v>
      </c>
      <c r="G399" s="48">
        <v>70</v>
      </c>
      <c r="H399" s="48">
        <v>70</v>
      </c>
      <c r="I399" s="49">
        <v>6392429.6799999997</v>
      </c>
      <c r="J399" s="49">
        <f t="shared" si="12"/>
        <v>91320.423999999999</v>
      </c>
      <c r="K399" s="65">
        <v>1</v>
      </c>
    </row>
    <row r="400" spans="2:11" ht="12" hidden="1" customHeight="1">
      <c r="B400" s="46" t="s">
        <v>974</v>
      </c>
      <c r="C400" s="47" t="s">
        <v>975</v>
      </c>
      <c r="D400" s="47" t="s">
        <v>137</v>
      </c>
      <c r="E400" s="48" t="s">
        <v>185</v>
      </c>
      <c r="F400" s="48" t="s">
        <v>184</v>
      </c>
      <c r="G400" s="48">
        <v>79</v>
      </c>
      <c r="H400" s="48">
        <v>100</v>
      </c>
      <c r="I400" s="49">
        <v>12117632.050000001</v>
      </c>
      <c r="J400" s="49">
        <f t="shared" si="12"/>
        <v>153387.74746835444</v>
      </c>
      <c r="K400" s="65">
        <v>1</v>
      </c>
    </row>
    <row r="401" spans="2:11" ht="12" customHeight="1">
      <c r="B401" s="46" t="s">
        <v>976</v>
      </c>
      <c r="C401" s="47" t="s">
        <v>977</v>
      </c>
      <c r="D401" s="47" t="s">
        <v>128</v>
      </c>
      <c r="E401" s="48" t="s">
        <v>185</v>
      </c>
      <c r="F401" s="48" t="s">
        <v>184</v>
      </c>
      <c r="G401" s="48">
        <v>70</v>
      </c>
      <c r="H401" s="48">
        <v>90</v>
      </c>
      <c r="I401" s="49">
        <v>9923996.0700000003</v>
      </c>
      <c r="J401" s="49">
        <f t="shared" si="12"/>
        <v>141771.37242857143</v>
      </c>
      <c r="K401" s="65">
        <v>1</v>
      </c>
    </row>
    <row r="402" spans="2:11" ht="12" hidden="1" customHeight="1">
      <c r="B402" s="46" t="s">
        <v>978</v>
      </c>
      <c r="C402" s="47" t="s">
        <v>979</v>
      </c>
      <c r="D402" s="47" t="s">
        <v>109</v>
      </c>
      <c r="E402" s="48" t="s">
        <v>185</v>
      </c>
      <c r="F402" s="48" t="s">
        <v>184</v>
      </c>
      <c r="G402" s="48">
        <v>40</v>
      </c>
      <c r="H402" s="48">
        <v>45</v>
      </c>
      <c r="I402" s="49">
        <v>4746029.2300000004</v>
      </c>
      <c r="J402" s="49">
        <f t="shared" si="12"/>
        <v>118650.73075000002</v>
      </c>
      <c r="K402" s="65">
        <v>1</v>
      </c>
    </row>
    <row r="403" spans="2:11" ht="12" hidden="1" customHeight="1">
      <c r="B403" s="46" t="s">
        <v>980</v>
      </c>
      <c r="C403" s="47" t="s">
        <v>981</v>
      </c>
      <c r="D403" s="47" t="s">
        <v>122</v>
      </c>
      <c r="E403" s="48" t="s">
        <v>185</v>
      </c>
      <c r="F403" s="48" t="s">
        <v>184</v>
      </c>
      <c r="G403" s="48">
        <v>65</v>
      </c>
      <c r="H403" s="48">
        <v>65</v>
      </c>
      <c r="I403" s="49">
        <v>8789096.5500000007</v>
      </c>
      <c r="J403" s="49">
        <f t="shared" si="12"/>
        <v>135216.87000000002</v>
      </c>
      <c r="K403" s="65">
        <v>1</v>
      </c>
    </row>
    <row r="404" spans="2:11" ht="12" hidden="1" customHeight="1">
      <c r="B404" s="46" t="s">
        <v>982</v>
      </c>
      <c r="C404" s="47" t="s">
        <v>983</v>
      </c>
      <c r="D404" s="47" t="s">
        <v>122</v>
      </c>
      <c r="E404" s="48" t="s">
        <v>183</v>
      </c>
      <c r="F404" s="48" t="s">
        <v>184</v>
      </c>
      <c r="G404" s="48">
        <v>25</v>
      </c>
      <c r="H404" s="48">
        <v>25</v>
      </c>
      <c r="I404" s="49">
        <v>1490954.33</v>
      </c>
      <c r="J404" s="49">
        <f t="shared" si="12"/>
        <v>59638.173200000005</v>
      </c>
      <c r="K404" s="65">
        <v>1</v>
      </c>
    </row>
    <row r="405" spans="2:11" ht="12" hidden="1" customHeight="1">
      <c r="B405" s="46" t="s">
        <v>984</v>
      </c>
      <c r="C405" s="47" t="s">
        <v>985</v>
      </c>
      <c r="D405" s="47" t="s">
        <v>122</v>
      </c>
      <c r="E405" s="48" t="s">
        <v>185</v>
      </c>
      <c r="F405" s="48" t="s">
        <v>184</v>
      </c>
      <c r="G405" s="48">
        <v>85</v>
      </c>
      <c r="H405" s="48">
        <v>105</v>
      </c>
      <c r="I405" s="49">
        <v>15443719.6</v>
      </c>
      <c r="J405" s="49">
        <f t="shared" si="12"/>
        <v>181690.81882352941</v>
      </c>
      <c r="K405" s="65">
        <v>1</v>
      </c>
    </row>
    <row r="406" spans="2:11" ht="12" hidden="1" customHeight="1">
      <c r="B406" s="46" t="s">
        <v>986</v>
      </c>
      <c r="C406" s="47" t="s">
        <v>987</v>
      </c>
      <c r="D406" s="47" t="s">
        <v>133</v>
      </c>
      <c r="E406" s="48" t="s">
        <v>183</v>
      </c>
      <c r="F406" s="48" t="s">
        <v>184</v>
      </c>
      <c r="G406" s="48">
        <v>66</v>
      </c>
      <c r="H406" s="48">
        <v>66</v>
      </c>
      <c r="I406" s="49">
        <v>7106209.29</v>
      </c>
      <c r="J406" s="49">
        <f t="shared" si="12"/>
        <v>107669.83772727272</v>
      </c>
      <c r="K406" s="65">
        <v>1</v>
      </c>
    </row>
    <row r="407" spans="2:11" ht="12" hidden="1" customHeight="1">
      <c r="B407" s="46" t="s">
        <v>988</v>
      </c>
      <c r="C407" s="47" t="s">
        <v>989</v>
      </c>
      <c r="D407" s="47" t="s">
        <v>105</v>
      </c>
      <c r="E407" s="48" t="s">
        <v>183</v>
      </c>
      <c r="F407" s="48" t="s">
        <v>183</v>
      </c>
      <c r="G407" s="48">
        <v>50</v>
      </c>
      <c r="H407" s="48">
        <v>50</v>
      </c>
      <c r="I407" s="49">
        <v>4356193.84</v>
      </c>
      <c r="J407" s="49">
        <f t="shared" si="12"/>
        <v>87123.876799999998</v>
      </c>
      <c r="K407" s="65">
        <v>1</v>
      </c>
    </row>
    <row r="408" spans="2:11" ht="12" hidden="1" customHeight="1">
      <c r="B408" s="46" t="s">
        <v>990</v>
      </c>
      <c r="C408" s="47" t="s">
        <v>991</v>
      </c>
      <c r="D408" s="47" t="s">
        <v>149</v>
      </c>
      <c r="E408" s="48" t="s">
        <v>183</v>
      </c>
      <c r="F408" s="48" t="s">
        <v>183</v>
      </c>
      <c r="G408" s="48">
        <v>50</v>
      </c>
      <c r="H408" s="48">
        <v>50</v>
      </c>
      <c r="I408" s="49">
        <v>3744552.86</v>
      </c>
      <c r="J408" s="49">
        <f t="shared" si="12"/>
        <v>74891.057199999996</v>
      </c>
      <c r="K408" s="65">
        <v>1</v>
      </c>
    </row>
    <row r="409" spans="2:11" ht="12" hidden="1" customHeight="1">
      <c r="B409" s="46" t="s">
        <v>992</v>
      </c>
      <c r="C409" s="47" t="s">
        <v>993</v>
      </c>
      <c r="D409" s="47" t="s">
        <v>127</v>
      </c>
      <c r="E409" s="48" t="s">
        <v>185</v>
      </c>
      <c r="F409" s="48" t="s">
        <v>183</v>
      </c>
      <c r="G409" s="48">
        <v>45</v>
      </c>
      <c r="H409" s="48">
        <v>45</v>
      </c>
      <c r="I409" s="49">
        <v>3668863.15</v>
      </c>
      <c r="J409" s="49">
        <f t="shared" si="12"/>
        <v>81530.292222222226</v>
      </c>
      <c r="K409" s="65">
        <v>1</v>
      </c>
    </row>
    <row r="410" spans="2:11" ht="12" hidden="1" customHeight="1">
      <c r="B410" s="46" t="s">
        <v>994</v>
      </c>
      <c r="C410" s="47" t="s">
        <v>995</v>
      </c>
      <c r="D410" s="47" t="s">
        <v>146</v>
      </c>
      <c r="E410" s="48" t="s">
        <v>185</v>
      </c>
      <c r="F410" s="48" t="s">
        <v>184</v>
      </c>
      <c r="G410" s="48">
        <v>48</v>
      </c>
      <c r="H410" s="48">
        <v>48</v>
      </c>
      <c r="I410" s="49">
        <v>3231551.05</v>
      </c>
      <c r="J410" s="49">
        <f t="shared" si="12"/>
        <v>67323.980208333334</v>
      </c>
      <c r="K410" s="65">
        <v>1</v>
      </c>
    </row>
    <row r="411" spans="2:11" ht="12" hidden="1" customHeight="1">
      <c r="B411" s="46" t="s">
        <v>996</v>
      </c>
      <c r="C411" s="47" t="s">
        <v>997</v>
      </c>
      <c r="D411" s="47" t="s">
        <v>129</v>
      </c>
      <c r="E411" s="48" t="s">
        <v>183</v>
      </c>
      <c r="F411" s="48" t="s">
        <v>183</v>
      </c>
      <c r="G411" s="48">
        <v>70</v>
      </c>
      <c r="H411" s="48">
        <v>80</v>
      </c>
      <c r="I411" s="49">
        <v>5248101.43</v>
      </c>
      <c r="J411" s="49">
        <f t="shared" si="12"/>
        <v>74972.877571428573</v>
      </c>
      <c r="K411" s="65">
        <v>1</v>
      </c>
    </row>
    <row r="412" spans="2:11" ht="12" hidden="1" customHeight="1">
      <c r="B412" s="46" t="s">
        <v>998</v>
      </c>
      <c r="C412" s="47" t="s">
        <v>999</v>
      </c>
      <c r="D412" s="47" t="s">
        <v>130</v>
      </c>
      <c r="E412" s="48" t="s">
        <v>183</v>
      </c>
      <c r="F412" s="48" t="s">
        <v>183</v>
      </c>
      <c r="G412" s="48">
        <v>56</v>
      </c>
      <c r="H412" s="48">
        <v>61</v>
      </c>
      <c r="I412" s="49">
        <v>3874152.16</v>
      </c>
      <c r="J412" s="49">
        <f t="shared" si="12"/>
        <v>69181.28857142858</v>
      </c>
      <c r="K412" s="65">
        <v>1</v>
      </c>
    </row>
    <row r="413" spans="2:11" ht="12" hidden="1" customHeight="1">
      <c r="B413" s="46" t="s">
        <v>1000</v>
      </c>
      <c r="C413" s="47" t="s">
        <v>1001</v>
      </c>
      <c r="D413" s="47" t="s">
        <v>130</v>
      </c>
      <c r="E413" s="48" t="s">
        <v>183</v>
      </c>
      <c r="F413" s="48" t="s">
        <v>183</v>
      </c>
      <c r="G413" s="48">
        <v>80</v>
      </c>
      <c r="H413" s="48">
        <v>80</v>
      </c>
      <c r="I413" s="49">
        <v>5772560.1299999999</v>
      </c>
      <c r="J413" s="49">
        <f t="shared" si="12"/>
        <v>72157.001625000004</v>
      </c>
      <c r="K413" s="65">
        <v>1</v>
      </c>
    </row>
    <row r="414" spans="2:11" ht="12" hidden="1" customHeight="1">
      <c r="B414" s="46" t="s">
        <v>1002</v>
      </c>
      <c r="C414" s="47" t="s">
        <v>1003</v>
      </c>
      <c r="D414" s="47" t="s">
        <v>130</v>
      </c>
      <c r="E414" s="48" t="s">
        <v>185</v>
      </c>
      <c r="F414" s="48" t="s">
        <v>183</v>
      </c>
      <c r="G414" s="48">
        <v>43</v>
      </c>
      <c r="H414" s="48">
        <v>43</v>
      </c>
      <c r="I414" s="49">
        <v>5321680.75</v>
      </c>
      <c r="J414" s="49">
        <f t="shared" si="12"/>
        <v>123760.01744186046</v>
      </c>
      <c r="K414" s="65">
        <v>1</v>
      </c>
    </row>
    <row r="415" spans="2:11" ht="12" hidden="1" customHeight="1">
      <c r="B415" s="46" t="s">
        <v>1004</v>
      </c>
      <c r="C415" s="47" t="s">
        <v>1005</v>
      </c>
      <c r="D415" s="47" t="s">
        <v>142</v>
      </c>
      <c r="E415" s="48" t="s">
        <v>185</v>
      </c>
      <c r="F415" s="48" t="s">
        <v>184</v>
      </c>
      <c r="G415" s="48">
        <v>79</v>
      </c>
      <c r="H415" s="48">
        <v>100</v>
      </c>
      <c r="I415" s="49">
        <v>12598472.779999999</v>
      </c>
      <c r="J415" s="49">
        <f t="shared" si="12"/>
        <v>159474.33898734176</v>
      </c>
      <c r="K415" s="65">
        <v>1</v>
      </c>
    </row>
    <row r="416" spans="2:11" ht="12" hidden="1" customHeight="1">
      <c r="B416" s="46" t="s">
        <v>1006</v>
      </c>
      <c r="C416" s="47" t="s">
        <v>1007</v>
      </c>
      <c r="D416" s="47" t="s">
        <v>106</v>
      </c>
      <c r="E416" s="48" t="s">
        <v>185</v>
      </c>
      <c r="F416" s="48" t="s">
        <v>184</v>
      </c>
      <c r="G416" s="48">
        <v>65</v>
      </c>
      <c r="H416" s="48">
        <v>65</v>
      </c>
      <c r="I416" s="49">
        <v>7484782.0999999996</v>
      </c>
      <c r="J416" s="49">
        <f t="shared" si="12"/>
        <v>115150.49384615384</v>
      </c>
      <c r="K416" s="65">
        <v>1</v>
      </c>
    </row>
    <row r="417" spans="2:11" ht="12" hidden="1" customHeight="1">
      <c r="B417" s="46" t="s">
        <v>1008</v>
      </c>
      <c r="C417" s="47" t="s">
        <v>1009</v>
      </c>
      <c r="D417" s="47" t="s">
        <v>152</v>
      </c>
      <c r="E417" s="48" t="s">
        <v>185</v>
      </c>
      <c r="F417" s="48" t="s">
        <v>184</v>
      </c>
      <c r="G417" s="48">
        <v>96</v>
      </c>
      <c r="H417" s="48">
        <v>100</v>
      </c>
      <c r="I417" s="49">
        <v>16983406.23</v>
      </c>
      <c r="J417" s="49">
        <f t="shared" si="12"/>
        <v>176910.4815625</v>
      </c>
      <c r="K417" s="65">
        <v>1</v>
      </c>
    </row>
    <row r="418" spans="2:11" ht="12" hidden="1" customHeight="1">
      <c r="B418" s="46" t="s">
        <v>1010</v>
      </c>
      <c r="C418" s="47" t="s">
        <v>1011</v>
      </c>
      <c r="D418" s="47" t="s">
        <v>155</v>
      </c>
      <c r="E418" s="48" t="s">
        <v>185</v>
      </c>
      <c r="F418" s="48" t="s">
        <v>184</v>
      </c>
      <c r="G418" s="48">
        <v>39</v>
      </c>
      <c r="H418" s="48">
        <v>39</v>
      </c>
      <c r="I418" s="49">
        <v>5910673.1500000004</v>
      </c>
      <c r="J418" s="49">
        <f t="shared" si="12"/>
        <v>151555.72179487182</v>
      </c>
      <c r="K418" s="65">
        <v>1</v>
      </c>
    </row>
    <row r="419" spans="2:11" ht="12" hidden="1" customHeight="1">
      <c r="B419" s="46" t="s">
        <v>1012</v>
      </c>
      <c r="C419" s="47" t="s">
        <v>1013</v>
      </c>
      <c r="D419" s="47" t="s">
        <v>124</v>
      </c>
      <c r="E419" s="48" t="s">
        <v>183</v>
      </c>
      <c r="F419" s="48" t="s">
        <v>184</v>
      </c>
      <c r="G419" s="48">
        <v>40</v>
      </c>
      <c r="H419" s="48">
        <v>42</v>
      </c>
      <c r="I419" s="49">
        <v>1197831.73</v>
      </c>
      <c r="J419" s="49">
        <f t="shared" si="12"/>
        <v>29945.793249999999</v>
      </c>
      <c r="K419" s="65">
        <v>1</v>
      </c>
    </row>
    <row r="420" spans="2:11" ht="12" hidden="1" customHeight="1">
      <c r="B420" s="46" t="s">
        <v>1014</v>
      </c>
      <c r="C420" s="47" t="s">
        <v>1015</v>
      </c>
      <c r="D420" s="47" t="s">
        <v>129</v>
      </c>
      <c r="E420" s="48" t="s">
        <v>185</v>
      </c>
      <c r="F420" s="48" t="s">
        <v>183</v>
      </c>
      <c r="G420" s="48">
        <v>67</v>
      </c>
      <c r="H420" s="48">
        <v>67</v>
      </c>
      <c r="I420" s="49">
        <v>8934787.3499999996</v>
      </c>
      <c r="J420" s="49">
        <f t="shared" si="12"/>
        <v>133355.03507462685</v>
      </c>
      <c r="K420" s="65">
        <v>1</v>
      </c>
    </row>
    <row r="421" spans="2:11" ht="12" hidden="1" customHeight="1">
      <c r="B421" s="46" t="s">
        <v>1016</v>
      </c>
      <c r="C421" s="47" t="s">
        <v>1017</v>
      </c>
      <c r="D421" s="47" t="s">
        <v>172</v>
      </c>
      <c r="E421" s="48" t="s">
        <v>183</v>
      </c>
      <c r="F421" s="48" t="s">
        <v>183</v>
      </c>
      <c r="G421" s="48">
        <v>70</v>
      </c>
      <c r="H421" s="48">
        <v>74</v>
      </c>
      <c r="I421" s="49">
        <v>5862145.04</v>
      </c>
      <c r="J421" s="49">
        <f t="shared" si="12"/>
        <v>83744.929142857145</v>
      </c>
      <c r="K421" s="65">
        <v>1</v>
      </c>
    </row>
    <row r="422" spans="2:11" ht="12" hidden="1" customHeight="1">
      <c r="B422" s="46" t="s">
        <v>1018</v>
      </c>
      <c r="C422" s="47" t="s">
        <v>1019</v>
      </c>
      <c r="D422" s="47" t="s">
        <v>105</v>
      </c>
      <c r="E422" s="48" t="s">
        <v>183</v>
      </c>
      <c r="F422" s="48" t="s">
        <v>183</v>
      </c>
      <c r="G422" s="48">
        <v>35</v>
      </c>
      <c r="H422" s="48">
        <v>35</v>
      </c>
      <c r="I422" s="49">
        <v>2659663.62</v>
      </c>
      <c r="J422" s="49">
        <f t="shared" si="12"/>
        <v>75990.389142857151</v>
      </c>
      <c r="K422" s="65">
        <v>1</v>
      </c>
    </row>
    <row r="423" spans="2:11" ht="12" customHeight="1">
      <c r="B423" s="46" t="s">
        <v>1020</v>
      </c>
      <c r="C423" s="47" t="s">
        <v>1021</v>
      </c>
      <c r="D423" s="47" t="s">
        <v>128</v>
      </c>
      <c r="E423" s="48" t="s">
        <v>183</v>
      </c>
      <c r="F423" s="48" t="s">
        <v>184</v>
      </c>
      <c r="G423" s="48">
        <v>55</v>
      </c>
      <c r="H423" s="48">
        <v>55</v>
      </c>
      <c r="I423" s="49">
        <v>4019294.44</v>
      </c>
      <c r="J423" s="49">
        <f t="shared" si="12"/>
        <v>73078.080727272725</v>
      </c>
      <c r="K423" s="65">
        <v>1</v>
      </c>
    </row>
    <row r="424" spans="2:11" ht="12" hidden="1" customHeight="1">
      <c r="B424" s="46" t="s">
        <v>1022</v>
      </c>
      <c r="C424" s="47" t="s">
        <v>1023</v>
      </c>
      <c r="D424" s="47" t="s">
        <v>181</v>
      </c>
      <c r="E424" s="48" t="s">
        <v>183</v>
      </c>
      <c r="F424" s="48" t="s">
        <v>183</v>
      </c>
      <c r="G424" s="48">
        <v>0</v>
      </c>
      <c r="H424" s="48">
        <v>60</v>
      </c>
      <c r="I424" s="49">
        <v>0</v>
      </c>
      <c r="J424" s="49" t="str">
        <f t="shared" si="12"/>
        <v/>
      </c>
      <c r="K424" s="65">
        <v>1</v>
      </c>
    </row>
    <row r="425" spans="2:11" ht="12" hidden="1" customHeight="1">
      <c r="B425" s="46" t="s">
        <v>1024</v>
      </c>
      <c r="C425" s="47" t="s">
        <v>1025</v>
      </c>
      <c r="D425" s="47" t="s">
        <v>112</v>
      </c>
      <c r="E425" s="48" t="s">
        <v>185</v>
      </c>
      <c r="F425" s="48" t="s">
        <v>184</v>
      </c>
      <c r="G425" s="48">
        <v>50</v>
      </c>
      <c r="H425" s="48">
        <v>50</v>
      </c>
      <c r="I425" s="49">
        <v>9761350.1899999995</v>
      </c>
      <c r="J425" s="49">
        <f t="shared" si="12"/>
        <v>195227.00379999998</v>
      </c>
      <c r="K425" s="65">
        <v>1</v>
      </c>
    </row>
    <row r="426" spans="2:11" ht="12" hidden="1" customHeight="1">
      <c r="B426" s="46" t="s">
        <v>1026</v>
      </c>
      <c r="C426" s="47" t="s">
        <v>1027</v>
      </c>
      <c r="D426" s="47" t="s">
        <v>112</v>
      </c>
      <c r="E426" s="48" t="s">
        <v>183</v>
      </c>
      <c r="F426" s="48" t="s">
        <v>184</v>
      </c>
      <c r="G426" s="48">
        <v>35</v>
      </c>
      <c r="H426" s="48">
        <v>35</v>
      </c>
      <c r="I426" s="49">
        <v>5508948.3899999997</v>
      </c>
      <c r="J426" s="49">
        <f t="shared" si="12"/>
        <v>157398.52542857142</v>
      </c>
      <c r="K426" s="65">
        <v>1</v>
      </c>
    </row>
    <row r="427" spans="2:11" ht="12" hidden="1" customHeight="1">
      <c r="B427" s="46" t="s">
        <v>1028</v>
      </c>
      <c r="C427" s="47" t="s">
        <v>1029</v>
      </c>
      <c r="D427" s="47" t="s">
        <v>160</v>
      </c>
      <c r="E427" s="48" t="s">
        <v>183</v>
      </c>
      <c r="F427" s="48" t="s">
        <v>183</v>
      </c>
      <c r="G427" s="48">
        <v>35</v>
      </c>
      <c r="H427" s="48">
        <v>35</v>
      </c>
      <c r="I427" s="49">
        <v>1644942.54</v>
      </c>
      <c r="J427" s="49">
        <f t="shared" si="12"/>
        <v>46998.35828571429</v>
      </c>
      <c r="K427" s="65">
        <v>1</v>
      </c>
    </row>
    <row r="428" spans="2:11" ht="12" hidden="1" customHeight="1">
      <c r="B428" s="46" t="s">
        <v>1030</v>
      </c>
      <c r="C428" s="47" t="s">
        <v>1031</v>
      </c>
      <c r="D428" s="47" t="s">
        <v>129</v>
      </c>
      <c r="E428" s="48" t="s">
        <v>183</v>
      </c>
      <c r="F428" s="48" t="s">
        <v>183</v>
      </c>
      <c r="G428" s="48">
        <v>35</v>
      </c>
      <c r="H428" s="48">
        <v>35</v>
      </c>
      <c r="I428" s="49">
        <v>3338996.37</v>
      </c>
      <c r="J428" s="49">
        <f t="shared" si="12"/>
        <v>95399.896285714291</v>
      </c>
      <c r="K428" s="65">
        <v>1</v>
      </c>
    </row>
    <row r="429" spans="2:11" ht="12" hidden="1" customHeight="1">
      <c r="B429" s="46" t="s">
        <v>1032</v>
      </c>
      <c r="C429" s="47" t="s">
        <v>1033</v>
      </c>
      <c r="D429" s="47" t="s">
        <v>181</v>
      </c>
      <c r="E429" s="48" t="s">
        <v>185</v>
      </c>
      <c r="F429" s="48" t="s">
        <v>183</v>
      </c>
      <c r="G429" s="48">
        <v>19</v>
      </c>
      <c r="H429" s="48">
        <v>30</v>
      </c>
      <c r="I429" s="49">
        <v>118208.39</v>
      </c>
      <c r="J429" s="49">
        <f t="shared" si="12"/>
        <v>6221.4942105263153</v>
      </c>
      <c r="K429" s="65">
        <v>1</v>
      </c>
    </row>
    <row r="430" spans="2:11" ht="12" hidden="1" customHeight="1">
      <c r="B430" s="46" t="s">
        <v>1034</v>
      </c>
      <c r="C430" s="47" t="s">
        <v>1035</v>
      </c>
      <c r="D430" s="47" t="s">
        <v>161</v>
      </c>
      <c r="E430" s="48" t="s">
        <v>183</v>
      </c>
      <c r="F430" s="48" t="s">
        <v>184</v>
      </c>
      <c r="G430" s="48">
        <v>60</v>
      </c>
      <c r="H430" s="48">
        <v>60</v>
      </c>
      <c r="I430" s="49">
        <v>2058809.58</v>
      </c>
      <c r="J430" s="49">
        <f t="shared" si="12"/>
        <v>34313.493000000002</v>
      </c>
      <c r="K430" s="65">
        <v>1</v>
      </c>
    </row>
    <row r="431" spans="2:11" ht="12" hidden="1" customHeight="1">
      <c r="B431" s="46" t="s">
        <v>1036</v>
      </c>
      <c r="C431" s="47" t="s">
        <v>1037</v>
      </c>
      <c r="D431" s="47" t="s">
        <v>137</v>
      </c>
      <c r="E431" s="48" t="s">
        <v>183</v>
      </c>
      <c r="F431" s="48" t="s">
        <v>184</v>
      </c>
      <c r="G431" s="48">
        <v>83</v>
      </c>
      <c r="H431" s="48">
        <v>83</v>
      </c>
      <c r="I431" s="49">
        <v>2177115.04</v>
      </c>
      <c r="J431" s="49">
        <f t="shared" si="12"/>
        <v>26230.301686746989</v>
      </c>
      <c r="K431" s="65">
        <v>1</v>
      </c>
    </row>
    <row r="432" spans="2:11" ht="12" hidden="1" customHeight="1">
      <c r="B432" s="46" t="s">
        <v>1038</v>
      </c>
      <c r="C432" s="47" t="s">
        <v>1039</v>
      </c>
      <c r="D432" s="47" t="s">
        <v>138</v>
      </c>
      <c r="E432" s="48" t="s">
        <v>185</v>
      </c>
      <c r="F432" s="48" t="s">
        <v>184</v>
      </c>
      <c r="G432" s="48">
        <v>85</v>
      </c>
      <c r="H432" s="48">
        <v>103</v>
      </c>
      <c r="I432" s="49">
        <v>12047606.039999999</v>
      </c>
      <c r="J432" s="49">
        <f t="shared" si="12"/>
        <v>141736.54164705882</v>
      </c>
      <c r="K432" s="65">
        <v>1</v>
      </c>
    </row>
    <row r="433" spans="2:11" ht="12" hidden="1" customHeight="1">
      <c r="B433" s="46" t="s">
        <v>1040</v>
      </c>
      <c r="C433" s="47" t="s">
        <v>1041</v>
      </c>
      <c r="D433" s="47" t="s">
        <v>103</v>
      </c>
      <c r="E433" s="48" t="s">
        <v>185</v>
      </c>
      <c r="F433" s="48" t="s">
        <v>183</v>
      </c>
      <c r="G433" s="48">
        <v>18</v>
      </c>
      <c r="H433" s="48">
        <v>18</v>
      </c>
      <c r="I433" s="49">
        <v>1141011.45</v>
      </c>
      <c r="J433" s="49">
        <f t="shared" si="12"/>
        <v>63389.524999999994</v>
      </c>
      <c r="K433" s="65">
        <v>1</v>
      </c>
    </row>
    <row r="434" spans="2:11" ht="12" hidden="1" customHeight="1">
      <c r="B434" s="46" t="s">
        <v>1042</v>
      </c>
      <c r="C434" s="47" t="s">
        <v>1043</v>
      </c>
      <c r="D434" s="47" t="s">
        <v>172</v>
      </c>
      <c r="E434" s="48" t="s">
        <v>185</v>
      </c>
      <c r="F434" s="48" t="s">
        <v>183</v>
      </c>
      <c r="G434" s="48">
        <v>23</v>
      </c>
      <c r="H434" s="48">
        <v>29</v>
      </c>
      <c r="I434" s="49">
        <v>2309876.89</v>
      </c>
      <c r="J434" s="49">
        <f t="shared" si="12"/>
        <v>100429.43000000001</v>
      </c>
      <c r="K434" s="65">
        <v>1</v>
      </c>
    </row>
    <row r="435" spans="2:11" ht="12" hidden="1" customHeight="1">
      <c r="B435" s="46" t="s">
        <v>1044</v>
      </c>
      <c r="C435" s="47" t="s">
        <v>1045</v>
      </c>
      <c r="D435" s="47" t="s">
        <v>160</v>
      </c>
      <c r="E435" s="48" t="s">
        <v>183</v>
      </c>
      <c r="F435" s="48" t="s">
        <v>183</v>
      </c>
      <c r="G435" s="48">
        <v>30</v>
      </c>
      <c r="H435" s="48">
        <v>30</v>
      </c>
      <c r="I435" s="49">
        <v>1747104.64</v>
      </c>
      <c r="J435" s="49">
        <f t="shared" si="12"/>
        <v>58236.821333333333</v>
      </c>
      <c r="K435" s="65">
        <v>1</v>
      </c>
    </row>
    <row r="436" spans="2:11" ht="12" hidden="1" customHeight="1">
      <c r="B436" s="46" t="s">
        <v>1046</v>
      </c>
      <c r="C436" s="47" t="s">
        <v>1047</v>
      </c>
      <c r="D436" s="47" t="s">
        <v>155</v>
      </c>
      <c r="E436" s="48" t="s">
        <v>183</v>
      </c>
      <c r="F436" s="48" t="s">
        <v>184</v>
      </c>
      <c r="G436" s="48">
        <v>85</v>
      </c>
      <c r="H436" s="48">
        <v>85</v>
      </c>
      <c r="I436" s="49">
        <v>9049261.7599999998</v>
      </c>
      <c r="J436" s="49">
        <f t="shared" si="12"/>
        <v>106461.90305882353</v>
      </c>
      <c r="K436" s="65">
        <v>1</v>
      </c>
    </row>
    <row r="437" spans="2:11" ht="12" hidden="1" customHeight="1">
      <c r="B437" s="46" t="s">
        <v>1048</v>
      </c>
      <c r="C437" s="47" t="s">
        <v>1049</v>
      </c>
      <c r="D437" s="47" t="s">
        <v>153</v>
      </c>
      <c r="E437" s="48" t="s">
        <v>183</v>
      </c>
      <c r="F437" s="48" t="s">
        <v>183</v>
      </c>
      <c r="G437" s="48">
        <v>40</v>
      </c>
      <c r="H437" s="48">
        <v>40</v>
      </c>
      <c r="I437" s="49">
        <v>2718188.13</v>
      </c>
      <c r="J437" s="49">
        <f t="shared" si="12"/>
        <v>67954.703249999991</v>
      </c>
      <c r="K437" s="65">
        <v>1</v>
      </c>
    </row>
    <row r="438" spans="2:11" ht="12" hidden="1" customHeight="1">
      <c r="B438" s="46" t="s">
        <v>1050</v>
      </c>
      <c r="C438" s="47" t="s">
        <v>1051</v>
      </c>
      <c r="D438" s="47" t="s">
        <v>147</v>
      </c>
      <c r="E438" s="48" t="s">
        <v>185</v>
      </c>
      <c r="F438" s="48" t="s">
        <v>184</v>
      </c>
      <c r="G438" s="48">
        <v>50</v>
      </c>
      <c r="H438" s="48">
        <v>50</v>
      </c>
      <c r="I438" s="49">
        <v>7404176.29</v>
      </c>
      <c r="J438" s="49">
        <f t="shared" si="12"/>
        <v>148083.5258</v>
      </c>
      <c r="K438" s="65">
        <v>1</v>
      </c>
    </row>
    <row r="439" spans="2:11" ht="12" hidden="1" customHeight="1">
      <c r="B439" s="46" t="s">
        <v>1052</v>
      </c>
      <c r="C439" s="47" t="s">
        <v>1053</v>
      </c>
      <c r="D439" s="47" t="s">
        <v>120</v>
      </c>
      <c r="E439" s="48" t="s">
        <v>185</v>
      </c>
      <c r="F439" s="48" t="s">
        <v>184</v>
      </c>
      <c r="G439" s="48">
        <v>88</v>
      </c>
      <c r="H439" s="48">
        <v>100</v>
      </c>
      <c r="I439" s="49">
        <v>11865601.76</v>
      </c>
      <c r="J439" s="49">
        <f t="shared" si="12"/>
        <v>134836.38363636364</v>
      </c>
      <c r="K439" s="65">
        <v>1</v>
      </c>
    </row>
    <row r="440" spans="2:11" ht="12" hidden="1" customHeight="1">
      <c r="B440" s="46" t="s">
        <v>1054</v>
      </c>
      <c r="C440" s="47" t="s">
        <v>1055</v>
      </c>
      <c r="D440" s="47" t="s">
        <v>135</v>
      </c>
      <c r="E440" s="48" t="s">
        <v>183</v>
      </c>
      <c r="F440" s="48" t="s">
        <v>184</v>
      </c>
      <c r="G440" s="48">
        <v>78</v>
      </c>
      <c r="H440" s="48">
        <v>78</v>
      </c>
      <c r="I440" s="49">
        <v>3648760.27</v>
      </c>
      <c r="J440" s="49">
        <f t="shared" si="12"/>
        <v>46778.977820512824</v>
      </c>
      <c r="K440" s="65">
        <v>1</v>
      </c>
    </row>
    <row r="441" spans="2:11" ht="12" hidden="1" customHeight="1">
      <c r="B441" s="46" t="s">
        <v>1056</v>
      </c>
      <c r="C441" s="47" t="s">
        <v>1057</v>
      </c>
      <c r="D441" s="47" t="s">
        <v>135</v>
      </c>
      <c r="E441" s="48" t="s">
        <v>183</v>
      </c>
      <c r="F441" s="48" t="s">
        <v>184</v>
      </c>
      <c r="G441" s="48">
        <v>38</v>
      </c>
      <c r="H441" s="48">
        <v>38</v>
      </c>
      <c r="I441" s="49">
        <v>1668447.04</v>
      </c>
      <c r="J441" s="49">
        <f t="shared" si="12"/>
        <v>43906.501052631582</v>
      </c>
      <c r="K441" s="65">
        <v>1</v>
      </c>
    </row>
    <row r="442" spans="2:11" ht="12" hidden="1" customHeight="1">
      <c r="B442" s="46" t="s">
        <v>1058</v>
      </c>
      <c r="C442" s="47" t="s">
        <v>1059</v>
      </c>
      <c r="D442" s="47" t="s">
        <v>135</v>
      </c>
      <c r="E442" s="48" t="s">
        <v>183</v>
      </c>
      <c r="F442" s="48" t="s">
        <v>184</v>
      </c>
      <c r="G442" s="48">
        <v>40</v>
      </c>
      <c r="H442" s="48">
        <v>40</v>
      </c>
      <c r="I442" s="49">
        <v>1767069.3</v>
      </c>
      <c r="J442" s="49">
        <f t="shared" si="12"/>
        <v>44176.732499999998</v>
      </c>
      <c r="K442" s="65">
        <v>1</v>
      </c>
    </row>
    <row r="443" spans="2:11" ht="12" hidden="1" customHeight="1">
      <c r="B443" s="46" t="s">
        <v>1060</v>
      </c>
      <c r="C443" s="47" t="s">
        <v>1061</v>
      </c>
      <c r="D443" s="47" t="s">
        <v>112</v>
      </c>
      <c r="E443" s="48" t="s">
        <v>183</v>
      </c>
      <c r="F443" s="48" t="s">
        <v>184</v>
      </c>
      <c r="G443" s="48">
        <v>23</v>
      </c>
      <c r="H443" s="48">
        <v>23</v>
      </c>
      <c r="I443" s="49">
        <v>482536.81</v>
      </c>
      <c r="J443" s="49">
        <f t="shared" si="12"/>
        <v>20979.861304347825</v>
      </c>
      <c r="K443" s="65">
        <v>1</v>
      </c>
    </row>
    <row r="444" spans="2:11" ht="12" hidden="1" customHeight="1">
      <c r="B444" s="46" t="s">
        <v>1062</v>
      </c>
      <c r="C444" s="47" t="s">
        <v>1063</v>
      </c>
      <c r="D444" s="47" t="s">
        <v>112</v>
      </c>
      <c r="E444" s="48" t="s">
        <v>183</v>
      </c>
      <c r="F444" s="48" t="s">
        <v>184</v>
      </c>
      <c r="G444" s="48">
        <v>60</v>
      </c>
      <c r="H444" s="48">
        <v>60</v>
      </c>
      <c r="I444" s="49">
        <v>2783129.45</v>
      </c>
      <c r="J444" s="49">
        <f t="shared" si="12"/>
        <v>46385.490833333337</v>
      </c>
      <c r="K444" s="65">
        <v>1</v>
      </c>
    </row>
    <row r="445" spans="2:11" ht="12" hidden="1" customHeight="1">
      <c r="B445" s="46" t="s">
        <v>1064</v>
      </c>
      <c r="C445" s="47" t="s">
        <v>1065</v>
      </c>
      <c r="D445" s="47" t="s">
        <v>169</v>
      </c>
      <c r="E445" s="48" t="s">
        <v>183</v>
      </c>
      <c r="F445" s="48" t="s">
        <v>183</v>
      </c>
      <c r="G445" s="48">
        <v>35</v>
      </c>
      <c r="H445" s="48">
        <v>35</v>
      </c>
      <c r="I445" s="49">
        <v>1769072.27</v>
      </c>
      <c r="J445" s="49">
        <f t="shared" si="12"/>
        <v>50544.921999999999</v>
      </c>
      <c r="K445" s="65">
        <v>1</v>
      </c>
    </row>
    <row r="446" spans="2:11" ht="12" hidden="1" customHeight="1">
      <c r="B446" s="46" t="s">
        <v>1066</v>
      </c>
      <c r="C446" s="47" t="s">
        <v>1067</v>
      </c>
      <c r="D446" s="47" t="s">
        <v>169</v>
      </c>
      <c r="E446" s="48" t="s">
        <v>183</v>
      </c>
      <c r="F446" s="48" t="s">
        <v>183</v>
      </c>
      <c r="G446" s="48">
        <v>35</v>
      </c>
      <c r="H446" s="48">
        <v>35</v>
      </c>
      <c r="I446" s="49">
        <v>1696501.33</v>
      </c>
      <c r="J446" s="49">
        <f t="shared" si="12"/>
        <v>48471.466571428573</v>
      </c>
      <c r="K446" s="65">
        <v>1</v>
      </c>
    </row>
    <row r="447" spans="2:11" ht="12" hidden="1" customHeight="1">
      <c r="B447" s="46" t="s">
        <v>1068</v>
      </c>
      <c r="C447" s="47" t="s">
        <v>1069</v>
      </c>
      <c r="D447" s="47" t="s">
        <v>135</v>
      </c>
      <c r="E447" s="48" t="s">
        <v>185</v>
      </c>
      <c r="F447" s="48" t="s">
        <v>184</v>
      </c>
      <c r="G447" s="48">
        <v>75</v>
      </c>
      <c r="H447" s="48">
        <v>87</v>
      </c>
      <c r="I447" s="49">
        <v>11350684.380000001</v>
      </c>
      <c r="J447" s="49">
        <f t="shared" si="12"/>
        <v>151342.4584</v>
      </c>
      <c r="K447" s="65">
        <v>1</v>
      </c>
    </row>
    <row r="448" spans="2:11" ht="12" hidden="1" customHeight="1">
      <c r="B448" s="46" t="s">
        <v>1070</v>
      </c>
      <c r="C448" s="47" t="s">
        <v>1071</v>
      </c>
      <c r="D448" s="47" t="s">
        <v>147</v>
      </c>
      <c r="E448" s="48" t="s">
        <v>183</v>
      </c>
      <c r="F448" s="48" t="s">
        <v>184</v>
      </c>
      <c r="G448" s="48">
        <v>80</v>
      </c>
      <c r="H448" s="48">
        <v>80</v>
      </c>
      <c r="I448" s="49">
        <v>6559537.3799999999</v>
      </c>
      <c r="J448" s="49">
        <f t="shared" si="12"/>
        <v>81994.217250000002</v>
      </c>
      <c r="K448" s="65">
        <v>1</v>
      </c>
    </row>
    <row r="449" spans="2:11" ht="12" hidden="1" customHeight="1">
      <c r="B449" s="46" t="s">
        <v>1072</v>
      </c>
      <c r="C449" s="47" t="s">
        <v>1073</v>
      </c>
      <c r="D449" s="47" t="s">
        <v>39</v>
      </c>
      <c r="E449" s="48" t="s">
        <v>185</v>
      </c>
      <c r="F449" s="48" t="s">
        <v>184</v>
      </c>
      <c r="G449" s="48">
        <v>49</v>
      </c>
      <c r="H449" s="48">
        <v>49</v>
      </c>
      <c r="I449" s="49">
        <v>6198751.9400000004</v>
      </c>
      <c r="J449" s="49">
        <f t="shared" si="12"/>
        <v>126505.14163265307</v>
      </c>
      <c r="K449" s="65">
        <v>1</v>
      </c>
    </row>
    <row r="450" spans="2:11" ht="12" hidden="1" customHeight="1">
      <c r="B450" s="46" t="s">
        <v>1074</v>
      </c>
      <c r="C450" s="47" t="s">
        <v>1075</v>
      </c>
      <c r="D450" s="47" t="s">
        <v>112</v>
      </c>
      <c r="E450" s="48" t="s">
        <v>185</v>
      </c>
      <c r="F450" s="48" t="s">
        <v>184</v>
      </c>
      <c r="G450" s="48">
        <v>105</v>
      </c>
      <c r="H450" s="48">
        <v>105</v>
      </c>
      <c r="I450" s="49">
        <v>15137654.07</v>
      </c>
      <c r="J450" s="49">
        <f t="shared" si="12"/>
        <v>144168.13399999999</v>
      </c>
      <c r="K450" s="65">
        <v>1</v>
      </c>
    </row>
    <row r="451" spans="2:11" ht="12" hidden="1" customHeight="1">
      <c r="B451" s="46" t="s">
        <v>1076</v>
      </c>
      <c r="C451" s="47" t="s">
        <v>1077</v>
      </c>
      <c r="D451" s="47" t="s">
        <v>142</v>
      </c>
      <c r="E451" s="48" t="s">
        <v>185</v>
      </c>
      <c r="F451" s="48" t="s">
        <v>184</v>
      </c>
      <c r="G451" s="48">
        <v>50</v>
      </c>
      <c r="H451" s="48">
        <v>60</v>
      </c>
      <c r="I451" s="49">
        <v>6850131.1900000004</v>
      </c>
      <c r="J451" s="49">
        <f t="shared" si="12"/>
        <v>137002.6238</v>
      </c>
      <c r="K451" s="65">
        <v>1</v>
      </c>
    </row>
    <row r="452" spans="2:11" ht="12" hidden="1" customHeight="1">
      <c r="B452" s="46" t="s">
        <v>1078</v>
      </c>
      <c r="C452" s="47" t="s">
        <v>1079</v>
      </c>
      <c r="D452" s="47" t="s">
        <v>161</v>
      </c>
      <c r="E452" s="48" t="s">
        <v>185</v>
      </c>
      <c r="F452" s="48" t="s">
        <v>184</v>
      </c>
      <c r="G452" s="48">
        <v>29</v>
      </c>
      <c r="H452" s="48">
        <v>29</v>
      </c>
      <c r="I452" s="49">
        <v>1406751.8</v>
      </c>
      <c r="J452" s="49">
        <f t="shared" si="12"/>
        <v>48508.682758620693</v>
      </c>
      <c r="K452" s="65">
        <v>1</v>
      </c>
    </row>
    <row r="453" spans="2:11" ht="12" hidden="1" customHeight="1">
      <c r="B453" s="46" t="s">
        <v>1080</v>
      </c>
      <c r="C453" s="47" t="s">
        <v>1081</v>
      </c>
      <c r="D453" s="47" t="s">
        <v>161</v>
      </c>
      <c r="E453" s="48" t="s">
        <v>185</v>
      </c>
      <c r="F453" s="48" t="s">
        <v>184</v>
      </c>
      <c r="G453" s="48">
        <v>32</v>
      </c>
      <c r="H453" s="48">
        <v>32</v>
      </c>
      <c r="I453" s="49">
        <v>967265.61</v>
      </c>
      <c r="J453" s="49">
        <f t="shared" ref="J453:J516" si="13">IF(I453&gt;0,I453/G453,"")</f>
        <v>30227.0503125</v>
      </c>
      <c r="K453" s="65">
        <v>1</v>
      </c>
    </row>
    <row r="454" spans="2:11" ht="12" hidden="1" customHeight="1">
      <c r="B454" s="46" t="s">
        <v>1080</v>
      </c>
      <c r="C454" s="47" t="s">
        <v>1081</v>
      </c>
      <c r="D454" s="47" t="s">
        <v>161</v>
      </c>
      <c r="E454" s="48" t="s">
        <v>185</v>
      </c>
      <c r="F454" s="48" t="s">
        <v>184</v>
      </c>
      <c r="G454" s="48">
        <v>0</v>
      </c>
      <c r="H454" s="48">
        <v>0</v>
      </c>
      <c r="I454" s="49">
        <v>880177.75</v>
      </c>
      <c r="J454" s="49" t="e">
        <f t="shared" si="13"/>
        <v>#DIV/0!</v>
      </c>
      <c r="K454" s="65">
        <v>1</v>
      </c>
    </row>
    <row r="455" spans="2:11" ht="12" hidden="1" customHeight="1">
      <c r="B455" s="46" t="s">
        <v>1082</v>
      </c>
      <c r="C455" s="47" t="s">
        <v>1083</v>
      </c>
      <c r="D455" s="47" t="s">
        <v>127</v>
      </c>
      <c r="E455" s="48" t="s">
        <v>183</v>
      </c>
      <c r="F455" s="48" t="s">
        <v>183</v>
      </c>
      <c r="G455" s="48">
        <v>44</v>
      </c>
      <c r="H455" s="48">
        <v>44</v>
      </c>
      <c r="I455" s="49">
        <v>2276750.33</v>
      </c>
      <c r="J455" s="49">
        <f t="shared" si="13"/>
        <v>51744.325681818184</v>
      </c>
      <c r="K455" s="65">
        <v>1</v>
      </c>
    </row>
    <row r="456" spans="2:11" ht="12" hidden="1" customHeight="1">
      <c r="B456" s="46" t="s">
        <v>1084</v>
      </c>
      <c r="C456" s="47" t="s">
        <v>1085</v>
      </c>
      <c r="D456" s="47" t="s">
        <v>127</v>
      </c>
      <c r="E456" s="48" t="s">
        <v>183</v>
      </c>
      <c r="F456" s="48" t="s">
        <v>183</v>
      </c>
      <c r="G456" s="48">
        <v>40</v>
      </c>
      <c r="H456" s="48">
        <v>40</v>
      </c>
      <c r="I456" s="49">
        <v>3120119.83</v>
      </c>
      <c r="J456" s="49">
        <f t="shared" si="13"/>
        <v>78002.995750000002</v>
      </c>
      <c r="K456" s="65">
        <v>1</v>
      </c>
    </row>
    <row r="457" spans="2:11" ht="12" hidden="1" customHeight="1">
      <c r="B457" s="46" t="s">
        <v>1086</v>
      </c>
      <c r="C457" s="47" t="s">
        <v>1087</v>
      </c>
      <c r="D457" s="47" t="s">
        <v>137</v>
      </c>
      <c r="E457" s="48" t="s">
        <v>185</v>
      </c>
      <c r="F457" s="48" t="s">
        <v>184</v>
      </c>
      <c r="G457" s="48">
        <v>50</v>
      </c>
      <c r="H457" s="48">
        <v>50</v>
      </c>
      <c r="I457" s="49">
        <v>3223615.07</v>
      </c>
      <c r="J457" s="49">
        <f t="shared" si="13"/>
        <v>64472.301399999997</v>
      </c>
      <c r="K457" s="65">
        <v>1</v>
      </c>
    </row>
    <row r="458" spans="2:11" ht="12" hidden="1" customHeight="1">
      <c r="B458" s="46" t="s">
        <v>1088</v>
      </c>
      <c r="C458" s="47" t="s">
        <v>1089</v>
      </c>
      <c r="D458" s="47" t="s">
        <v>175</v>
      </c>
      <c r="E458" s="48" t="s">
        <v>183</v>
      </c>
      <c r="F458" s="48" t="s">
        <v>184</v>
      </c>
      <c r="G458" s="48">
        <v>80</v>
      </c>
      <c r="H458" s="48">
        <v>80</v>
      </c>
      <c r="I458" s="49">
        <v>4615975.29</v>
      </c>
      <c r="J458" s="49">
        <f t="shared" si="13"/>
        <v>57699.691124999998</v>
      </c>
      <c r="K458" s="65">
        <v>1</v>
      </c>
    </row>
    <row r="459" spans="2:11" ht="12" hidden="1" customHeight="1">
      <c r="B459" s="46" t="s">
        <v>1090</v>
      </c>
      <c r="C459" s="47" t="s">
        <v>1091</v>
      </c>
      <c r="D459" s="47" t="s">
        <v>154</v>
      </c>
      <c r="E459" s="48" t="s">
        <v>183</v>
      </c>
      <c r="F459" s="48" t="s">
        <v>184</v>
      </c>
      <c r="G459" s="48">
        <v>43</v>
      </c>
      <c r="H459" s="48">
        <v>43</v>
      </c>
      <c r="I459" s="49">
        <v>1507534.79</v>
      </c>
      <c r="J459" s="49">
        <f t="shared" si="13"/>
        <v>35058.948604651167</v>
      </c>
      <c r="K459" s="65">
        <v>1</v>
      </c>
    </row>
    <row r="460" spans="2:11" ht="12" hidden="1" customHeight="1">
      <c r="B460" s="46" t="s">
        <v>1092</v>
      </c>
      <c r="C460" s="47" t="s">
        <v>1093</v>
      </c>
      <c r="D460" s="47" t="s">
        <v>38</v>
      </c>
      <c r="E460" s="48" t="s">
        <v>185</v>
      </c>
      <c r="F460" s="48" t="s">
        <v>184</v>
      </c>
      <c r="G460" s="48">
        <v>90</v>
      </c>
      <c r="H460" s="48">
        <v>90</v>
      </c>
      <c r="I460" s="49">
        <v>14357483.41</v>
      </c>
      <c r="J460" s="49">
        <f t="shared" si="13"/>
        <v>159527.59344444444</v>
      </c>
      <c r="K460" s="65">
        <v>1</v>
      </c>
    </row>
    <row r="461" spans="2:11" ht="12" hidden="1" customHeight="1">
      <c r="B461" s="46" t="s">
        <v>1094</v>
      </c>
      <c r="C461" s="47" t="s">
        <v>1095</v>
      </c>
      <c r="D461" s="47" t="s">
        <v>147</v>
      </c>
      <c r="E461" s="48" t="s">
        <v>183</v>
      </c>
      <c r="F461" s="48" t="s">
        <v>184</v>
      </c>
      <c r="G461" s="48">
        <v>66</v>
      </c>
      <c r="H461" s="48">
        <v>66</v>
      </c>
      <c r="I461" s="49">
        <v>5333424.38</v>
      </c>
      <c r="J461" s="49">
        <f t="shared" si="13"/>
        <v>80809.460303030297</v>
      </c>
      <c r="K461" s="65">
        <v>1</v>
      </c>
    </row>
    <row r="462" spans="2:11" ht="12" hidden="1" customHeight="1">
      <c r="B462" s="46" t="s">
        <v>1096</v>
      </c>
      <c r="C462" s="47" t="s">
        <v>1097</v>
      </c>
      <c r="D462" s="47" t="s">
        <v>145</v>
      </c>
      <c r="E462" s="48" t="s">
        <v>183</v>
      </c>
      <c r="F462" s="48" t="s">
        <v>184</v>
      </c>
      <c r="G462" s="48">
        <v>80</v>
      </c>
      <c r="H462" s="48">
        <v>80</v>
      </c>
      <c r="I462" s="49">
        <v>3853051.4</v>
      </c>
      <c r="J462" s="49">
        <f t="shared" si="13"/>
        <v>48163.142500000002</v>
      </c>
      <c r="K462" s="65">
        <v>1</v>
      </c>
    </row>
    <row r="463" spans="2:11" ht="12" hidden="1" customHeight="1">
      <c r="B463" s="46" t="s">
        <v>1098</v>
      </c>
      <c r="C463" s="47" t="s">
        <v>189</v>
      </c>
      <c r="D463" s="47" t="s">
        <v>107</v>
      </c>
      <c r="E463" s="48" t="s">
        <v>185</v>
      </c>
      <c r="F463" s="48" t="s">
        <v>183</v>
      </c>
      <c r="G463" s="48">
        <v>27</v>
      </c>
      <c r="H463" s="48">
        <v>27</v>
      </c>
      <c r="I463" s="49">
        <v>647788.72</v>
      </c>
      <c r="J463" s="49">
        <f t="shared" si="13"/>
        <v>23992.174814814814</v>
      </c>
      <c r="K463" s="65">
        <v>1</v>
      </c>
    </row>
    <row r="464" spans="2:11" ht="12" hidden="1" customHeight="1">
      <c r="B464" s="46" t="s">
        <v>1099</v>
      </c>
      <c r="C464" s="47" t="s">
        <v>1100</v>
      </c>
      <c r="D464" s="47" t="s">
        <v>137</v>
      </c>
      <c r="E464" s="48" t="s">
        <v>185</v>
      </c>
      <c r="F464" s="48" t="s">
        <v>184</v>
      </c>
      <c r="G464" s="48">
        <v>53</v>
      </c>
      <c r="H464" s="48">
        <v>53</v>
      </c>
      <c r="I464" s="49">
        <v>6989963.2199999997</v>
      </c>
      <c r="J464" s="49">
        <f t="shared" si="13"/>
        <v>131886.09849056604</v>
      </c>
      <c r="K464" s="65">
        <v>1</v>
      </c>
    </row>
    <row r="465" spans="2:11" ht="12" hidden="1" customHeight="1">
      <c r="B465" s="46" t="s">
        <v>1101</v>
      </c>
      <c r="C465" s="47" t="s">
        <v>1102</v>
      </c>
      <c r="D465" s="47" t="s">
        <v>124</v>
      </c>
      <c r="E465" s="48" t="s">
        <v>183</v>
      </c>
      <c r="F465" s="48" t="s">
        <v>184</v>
      </c>
      <c r="G465" s="48">
        <v>32</v>
      </c>
      <c r="H465" s="48">
        <v>32</v>
      </c>
      <c r="I465" s="49">
        <v>2056611.09</v>
      </c>
      <c r="J465" s="49">
        <f t="shared" si="13"/>
        <v>64269.096562500003</v>
      </c>
      <c r="K465" s="65">
        <v>1</v>
      </c>
    </row>
    <row r="466" spans="2:11" ht="12" hidden="1" customHeight="1">
      <c r="B466" s="46" t="s">
        <v>1103</v>
      </c>
      <c r="C466" s="47" t="s">
        <v>1104</v>
      </c>
      <c r="D466" s="47" t="s">
        <v>127</v>
      </c>
      <c r="E466" s="48" t="s">
        <v>185</v>
      </c>
      <c r="F466" s="48" t="s">
        <v>183</v>
      </c>
      <c r="G466" s="48">
        <v>25</v>
      </c>
      <c r="H466" s="48">
        <v>25</v>
      </c>
      <c r="I466" s="49">
        <v>1197588.44</v>
      </c>
      <c r="J466" s="49">
        <f t="shared" si="13"/>
        <v>47903.537599999996</v>
      </c>
      <c r="K466" s="65">
        <v>1</v>
      </c>
    </row>
    <row r="467" spans="2:11" ht="12" hidden="1" customHeight="1">
      <c r="B467" s="46" t="s">
        <v>1105</v>
      </c>
      <c r="C467" s="47" t="s">
        <v>1106</v>
      </c>
      <c r="D467" s="47" t="s">
        <v>177</v>
      </c>
      <c r="E467" s="48" t="s">
        <v>183</v>
      </c>
      <c r="F467" s="48" t="s">
        <v>184</v>
      </c>
      <c r="G467" s="48">
        <v>0</v>
      </c>
      <c r="H467" s="48">
        <v>0</v>
      </c>
      <c r="I467" s="49">
        <v>0</v>
      </c>
      <c r="J467" s="49" t="str">
        <f t="shared" si="13"/>
        <v/>
      </c>
      <c r="K467" s="65">
        <v>1</v>
      </c>
    </row>
    <row r="468" spans="2:11" ht="12" hidden="1" customHeight="1">
      <c r="B468" s="46" t="s">
        <v>1105</v>
      </c>
      <c r="C468" s="47" t="s">
        <v>1106</v>
      </c>
      <c r="D468" s="47" t="s">
        <v>177</v>
      </c>
      <c r="E468" s="48" t="s">
        <v>183</v>
      </c>
      <c r="F468" s="48" t="s">
        <v>184</v>
      </c>
      <c r="G468" s="48">
        <v>80</v>
      </c>
      <c r="H468" s="48">
        <v>80</v>
      </c>
      <c r="I468" s="49">
        <v>251672.27</v>
      </c>
      <c r="J468" s="49">
        <f t="shared" si="13"/>
        <v>3145.9033749999999</v>
      </c>
      <c r="K468" s="65">
        <v>1</v>
      </c>
    </row>
    <row r="469" spans="2:11" ht="12" customHeight="1">
      <c r="B469" s="46" t="s">
        <v>1107</v>
      </c>
      <c r="C469" s="47" t="s">
        <v>1108</v>
      </c>
      <c r="D469" s="47" t="s">
        <v>128</v>
      </c>
      <c r="E469" s="48" t="s">
        <v>185</v>
      </c>
      <c r="F469" s="48" t="s">
        <v>184</v>
      </c>
      <c r="G469" s="48">
        <v>30</v>
      </c>
      <c r="H469" s="48">
        <v>30</v>
      </c>
      <c r="I469" s="49">
        <v>2724468.41</v>
      </c>
      <c r="J469" s="49">
        <f t="shared" si="13"/>
        <v>90815.613666666672</v>
      </c>
      <c r="K469" s="65">
        <v>1</v>
      </c>
    </row>
    <row r="470" spans="2:11" ht="12" hidden="1" customHeight="1">
      <c r="B470" s="46" t="s">
        <v>1109</v>
      </c>
      <c r="C470" s="47" t="s">
        <v>1110</v>
      </c>
      <c r="D470" s="47" t="s">
        <v>121</v>
      </c>
      <c r="E470" s="48" t="s">
        <v>183</v>
      </c>
      <c r="F470" s="48" t="s">
        <v>183</v>
      </c>
      <c r="G470" s="48">
        <v>41</v>
      </c>
      <c r="H470" s="48">
        <v>41</v>
      </c>
      <c r="I470" s="49">
        <v>2129131.2599999998</v>
      </c>
      <c r="J470" s="49">
        <f t="shared" si="13"/>
        <v>51930.030731707309</v>
      </c>
      <c r="K470" s="65">
        <v>1</v>
      </c>
    </row>
    <row r="471" spans="2:11" ht="12" hidden="1" customHeight="1">
      <c r="B471" s="46" t="s">
        <v>1111</v>
      </c>
      <c r="C471" s="47" t="s">
        <v>1112</v>
      </c>
      <c r="D471" s="47" t="s">
        <v>146</v>
      </c>
      <c r="E471" s="48" t="s">
        <v>183</v>
      </c>
      <c r="F471" s="48" t="s">
        <v>184</v>
      </c>
      <c r="G471" s="48">
        <v>56</v>
      </c>
      <c r="H471" s="48">
        <v>56</v>
      </c>
      <c r="I471" s="49">
        <v>5323778.25</v>
      </c>
      <c r="J471" s="49">
        <f t="shared" si="13"/>
        <v>95067.46875</v>
      </c>
      <c r="K471" s="65">
        <v>1</v>
      </c>
    </row>
    <row r="472" spans="2:11" ht="12" hidden="1" customHeight="1">
      <c r="B472" s="46" t="s">
        <v>1113</v>
      </c>
      <c r="C472" s="47" t="s">
        <v>1114</v>
      </c>
      <c r="D472" s="47" t="s">
        <v>105</v>
      </c>
      <c r="E472" s="48" t="s">
        <v>185</v>
      </c>
      <c r="F472" s="48" t="s">
        <v>183</v>
      </c>
      <c r="G472" s="48">
        <v>30</v>
      </c>
      <c r="H472" s="48">
        <v>30</v>
      </c>
      <c r="I472" s="49">
        <v>1138267.52</v>
      </c>
      <c r="J472" s="49">
        <f t="shared" si="13"/>
        <v>37942.250666666667</v>
      </c>
      <c r="K472" s="65">
        <v>1</v>
      </c>
    </row>
    <row r="473" spans="2:11" ht="12" hidden="1" customHeight="1">
      <c r="B473" s="46" t="s">
        <v>1115</v>
      </c>
      <c r="C473" s="47" t="s">
        <v>1116</v>
      </c>
      <c r="D473" s="47" t="s">
        <v>152</v>
      </c>
      <c r="E473" s="48" t="s">
        <v>183</v>
      </c>
      <c r="F473" s="48" t="s">
        <v>184</v>
      </c>
      <c r="G473" s="48">
        <v>50</v>
      </c>
      <c r="H473" s="48">
        <v>50</v>
      </c>
      <c r="I473" s="49">
        <v>1896648.3</v>
      </c>
      <c r="J473" s="49">
        <f t="shared" si="13"/>
        <v>37932.966</v>
      </c>
      <c r="K473" s="65">
        <v>1</v>
      </c>
    </row>
    <row r="474" spans="2:11" ht="12" hidden="1" customHeight="1">
      <c r="B474" s="46" t="s">
        <v>1117</v>
      </c>
      <c r="C474" s="47" t="s">
        <v>1118</v>
      </c>
      <c r="D474" s="47" t="s">
        <v>171</v>
      </c>
      <c r="E474" s="48" t="s">
        <v>185</v>
      </c>
      <c r="F474" s="48" t="s">
        <v>183</v>
      </c>
      <c r="G474" s="48">
        <v>29</v>
      </c>
      <c r="H474" s="48">
        <v>29</v>
      </c>
      <c r="I474" s="49">
        <v>1562337.4</v>
      </c>
      <c r="J474" s="49">
        <f t="shared" si="13"/>
        <v>53873.703448275861</v>
      </c>
      <c r="K474" s="65">
        <v>1</v>
      </c>
    </row>
    <row r="475" spans="2:11" ht="12" hidden="1" customHeight="1">
      <c r="B475" s="46" t="s">
        <v>1119</v>
      </c>
      <c r="C475" s="47" t="s">
        <v>1120</v>
      </c>
      <c r="D475" s="47" t="s">
        <v>121</v>
      </c>
      <c r="E475" s="48" t="s">
        <v>183</v>
      </c>
      <c r="F475" s="48" t="s">
        <v>183</v>
      </c>
      <c r="G475" s="48">
        <v>24</v>
      </c>
      <c r="H475" s="48">
        <v>24</v>
      </c>
      <c r="I475" s="49">
        <v>841263.98</v>
      </c>
      <c r="J475" s="49">
        <f t="shared" si="13"/>
        <v>35052.665833333333</v>
      </c>
      <c r="K475" s="65">
        <v>1</v>
      </c>
    </row>
    <row r="476" spans="2:11" ht="12" hidden="1" customHeight="1">
      <c r="B476" s="46" t="s">
        <v>1121</v>
      </c>
      <c r="C476" s="47" t="s">
        <v>1122</v>
      </c>
      <c r="D476" s="47" t="s">
        <v>175</v>
      </c>
      <c r="E476" s="48" t="s">
        <v>185</v>
      </c>
      <c r="F476" s="48" t="s">
        <v>184</v>
      </c>
      <c r="G476" s="48">
        <v>50</v>
      </c>
      <c r="H476" s="48">
        <v>50</v>
      </c>
      <c r="I476" s="49">
        <v>3564971.93</v>
      </c>
      <c r="J476" s="49">
        <f t="shared" si="13"/>
        <v>71299.438600000009</v>
      </c>
      <c r="K476" s="65">
        <v>1</v>
      </c>
    </row>
    <row r="477" spans="2:11" ht="12" hidden="1" customHeight="1">
      <c r="B477" s="46" t="s">
        <v>1123</v>
      </c>
      <c r="C477" s="47" t="s">
        <v>1124</v>
      </c>
      <c r="D477" s="47" t="s">
        <v>39</v>
      </c>
      <c r="E477" s="48" t="s">
        <v>185</v>
      </c>
      <c r="F477" s="48" t="s">
        <v>184</v>
      </c>
      <c r="G477" s="48">
        <v>40</v>
      </c>
      <c r="H477" s="48">
        <v>40</v>
      </c>
      <c r="I477" s="49">
        <v>5468493.9000000004</v>
      </c>
      <c r="J477" s="49">
        <f t="shared" si="13"/>
        <v>136712.3475</v>
      </c>
      <c r="K477" s="65">
        <v>1</v>
      </c>
    </row>
    <row r="478" spans="2:11" ht="12" hidden="1" customHeight="1">
      <c r="B478" s="46" t="s">
        <v>1125</v>
      </c>
      <c r="C478" s="47" t="s">
        <v>1126</v>
      </c>
      <c r="D478" s="47" t="s">
        <v>161</v>
      </c>
      <c r="E478" s="48" t="s">
        <v>183</v>
      </c>
      <c r="F478" s="48" t="s">
        <v>184</v>
      </c>
      <c r="G478" s="48">
        <v>57</v>
      </c>
      <c r="H478" s="48">
        <v>57</v>
      </c>
      <c r="I478" s="49">
        <v>4980785.97</v>
      </c>
      <c r="J478" s="49">
        <f t="shared" si="13"/>
        <v>87382.209999999992</v>
      </c>
      <c r="K478" s="65">
        <v>1</v>
      </c>
    </row>
    <row r="479" spans="2:11" ht="12" hidden="1" customHeight="1">
      <c r="B479" s="46" t="s">
        <v>1127</v>
      </c>
      <c r="C479" s="47" t="s">
        <v>1128</v>
      </c>
      <c r="D479" s="47" t="s">
        <v>125</v>
      </c>
      <c r="E479" s="48" t="s">
        <v>185</v>
      </c>
      <c r="F479" s="48" t="s">
        <v>183</v>
      </c>
      <c r="G479" s="48">
        <v>32</v>
      </c>
      <c r="H479" s="48">
        <v>32</v>
      </c>
      <c r="I479" s="49">
        <v>2042017.19</v>
      </c>
      <c r="J479" s="49">
        <f t="shared" si="13"/>
        <v>63813.037187499998</v>
      </c>
      <c r="K479" s="65">
        <v>1</v>
      </c>
    </row>
    <row r="480" spans="2:11" ht="12" hidden="1" customHeight="1">
      <c r="B480" s="46" t="s">
        <v>1129</v>
      </c>
      <c r="C480" s="47" t="s">
        <v>1130</v>
      </c>
      <c r="D480" s="47" t="s">
        <v>138</v>
      </c>
      <c r="E480" s="48" t="s">
        <v>185</v>
      </c>
      <c r="F480" s="48" t="s">
        <v>184</v>
      </c>
      <c r="G480" s="48">
        <v>70</v>
      </c>
      <c r="H480" s="48">
        <v>90</v>
      </c>
      <c r="I480" s="49">
        <v>7783501.3499999996</v>
      </c>
      <c r="J480" s="49">
        <f t="shared" si="13"/>
        <v>111192.87642857143</v>
      </c>
      <c r="K480" s="65">
        <v>1</v>
      </c>
    </row>
    <row r="481" spans="2:11" ht="12" hidden="1" customHeight="1">
      <c r="B481" s="46" t="s">
        <v>1131</v>
      </c>
      <c r="C481" s="47" t="s">
        <v>1132</v>
      </c>
      <c r="D481" s="47" t="s">
        <v>172</v>
      </c>
      <c r="E481" s="48" t="s">
        <v>183</v>
      </c>
      <c r="F481" s="48" t="s">
        <v>183</v>
      </c>
      <c r="G481" s="48">
        <v>36</v>
      </c>
      <c r="H481" s="48">
        <v>36</v>
      </c>
      <c r="I481" s="49">
        <v>1282675.73</v>
      </c>
      <c r="J481" s="49">
        <f t="shared" si="13"/>
        <v>35629.881388888891</v>
      </c>
      <c r="K481" s="65">
        <v>1</v>
      </c>
    </row>
    <row r="482" spans="2:11" ht="12" hidden="1" customHeight="1">
      <c r="B482" s="46" t="s">
        <v>1133</v>
      </c>
      <c r="C482" s="47" t="s">
        <v>1134</v>
      </c>
      <c r="D482" s="47" t="s">
        <v>116</v>
      </c>
      <c r="E482" s="48" t="s">
        <v>185</v>
      </c>
      <c r="F482" s="48" t="s">
        <v>184</v>
      </c>
      <c r="G482" s="48">
        <v>52</v>
      </c>
      <c r="H482" s="48">
        <v>52</v>
      </c>
      <c r="I482" s="49">
        <v>7924321.7999999998</v>
      </c>
      <c r="J482" s="49">
        <f t="shared" si="13"/>
        <v>152390.80384615384</v>
      </c>
      <c r="K482" s="65">
        <v>1</v>
      </c>
    </row>
    <row r="483" spans="2:11" ht="12" hidden="1" customHeight="1">
      <c r="B483" s="46" t="s">
        <v>1135</v>
      </c>
      <c r="C483" s="47" t="s">
        <v>1136</v>
      </c>
      <c r="D483" s="47" t="s">
        <v>175</v>
      </c>
      <c r="E483" s="48" t="s">
        <v>183</v>
      </c>
      <c r="F483" s="48" t="s">
        <v>184</v>
      </c>
      <c r="G483" s="48">
        <v>75</v>
      </c>
      <c r="H483" s="48">
        <v>75</v>
      </c>
      <c r="I483" s="49">
        <v>8407381.2400000002</v>
      </c>
      <c r="J483" s="49">
        <f t="shared" si="13"/>
        <v>112098.41653333334</v>
      </c>
      <c r="K483" s="65">
        <v>1</v>
      </c>
    </row>
    <row r="484" spans="2:11" ht="12" hidden="1" customHeight="1">
      <c r="B484" s="46" t="s">
        <v>1137</v>
      </c>
      <c r="C484" s="47" t="s">
        <v>1138</v>
      </c>
      <c r="D484" s="47" t="s">
        <v>151</v>
      </c>
      <c r="E484" s="48" t="s">
        <v>185</v>
      </c>
      <c r="F484" s="48" t="s">
        <v>184</v>
      </c>
      <c r="G484" s="48">
        <v>56</v>
      </c>
      <c r="H484" s="48">
        <v>56</v>
      </c>
      <c r="I484" s="49">
        <v>7911773.6399999997</v>
      </c>
      <c r="J484" s="49">
        <f t="shared" si="13"/>
        <v>141281.67214285713</v>
      </c>
      <c r="K484" s="65">
        <v>1</v>
      </c>
    </row>
    <row r="485" spans="2:11" ht="12" hidden="1" customHeight="1">
      <c r="B485" s="46" t="s">
        <v>1139</v>
      </c>
      <c r="C485" s="47" t="s">
        <v>1140</v>
      </c>
      <c r="D485" s="47" t="s">
        <v>133</v>
      </c>
      <c r="E485" s="48" t="s">
        <v>183</v>
      </c>
      <c r="F485" s="48" t="s">
        <v>184</v>
      </c>
      <c r="G485" s="48">
        <v>60</v>
      </c>
      <c r="H485" s="48">
        <v>60</v>
      </c>
      <c r="I485" s="49">
        <v>3049209.65</v>
      </c>
      <c r="J485" s="49">
        <f t="shared" si="13"/>
        <v>50820.160833333335</v>
      </c>
      <c r="K485" s="65">
        <v>1</v>
      </c>
    </row>
    <row r="486" spans="2:11" ht="12" hidden="1" customHeight="1">
      <c r="B486" s="46" t="s">
        <v>1141</v>
      </c>
      <c r="C486" s="47" t="s">
        <v>1142</v>
      </c>
      <c r="D486" s="47" t="s">
        <v>172</v>
      </c>
      <c r="E486" s="48" t="s">
        <v>183</v>
      </c>
      <c r="F486" s="48" t="s">
        <v>183</v>
      </c>
      <c r="G486" s="48">
        <v>37</v>
      </c>
      <c r="H486" s="48">
        <v>37</v>
      </c>
      <c r="I486" s="49">
        <v>2409634.88</v>
      </c>
      <c r="J486" s="49">
        <f t="shared" si="13"/>
        <v>65125.267027027025</v>
      </c>
      <c r="K486" s="65">
        <v>1</v>
      </c>
    </row>
    <row r="487" spans="2:11" ht="12" hidden="1" customHeight="1">
      <c r="B487" s="46" t="s">
        <v>1143</v>
      </c>
      <c r="C487" s="47" t="s">
        <v>1144</v>
      </c>
      <c r="D487" s="47" t="s">
        <v>116</v>
      </c>
      <c r="E487" s="48" t="s">
        <v>183</v>
      </c>
      <c r="F487" s="48" t="s">
        <v>184</v>
      </c>
      <c r="G487" s="48">
        <v>46</v>
      </c>
      <c r="H487" s="48">
        <v>46</v>
      </c>
      <c r="I487" s="49">
        <v>1913145.55</v>
      </c>
      <c r="J487" s="49">
        <f t="shared" si="13"/>
        <v>41590.120652173915</v>
      </c>
      <c r="K487" s="65">
        <v>1</v>
      </c>
    </row>
    <row r="488" spans="2:11" ht="12" hidden="1" customHeight="1">
      <c r="B488" s="46" t="s">
        <v>1145</v>
      </c>
      <c r="C488" s="47" t="s">
        <v>1146</v>
      </c>
      <c r="D488" s="47" t="s">
        <v>168</v>
      </c>
      <c r="E488" s="48" t="s">
        <v>183</v>
      </c>
      <c r="F488" s="48" t="s">
        <v>183</v>
      </c>
      <c r="G488" s="48">
        <v>40</v>
      </c>
      <c r="H488" s="48">
        <v>40</v>
      </c>
      <c r="I488" s="49">
        <v>413180.56</v>
      </c>
      <c r="J488" s="49">
        <f t="shared" si="13"/>
        <v>10329.513999999999</v>
      </c>
      <c r="K488" s="65">
        <v>1</v>
      </c>
    </row>
    <row r="489" spans="2:11" ht="12" hidden="1" customHeight="1">
      <c r="B489" s="46" t="s">
        <v>1147</v>
      </c>
      <c r="C489" s="47" t="s">
        <v>1148</v>
      </c>
      <c r="D489" s="47" t="s">
        <v>168</v>
      </c>
      <c r="E489" s="48" t="s">
        <v>185</v>
      </c>
      <c r="F489" s="48" t="s">
        <v>183</v>
      </c>
      <c r="G489" s="48">
        <v>15</v>
      </c>
      <c r="H489" s="48">
        <v>15</v>
      </c>
      <c r="I489" s="49">
        <v>1066928.1499999999</v>
      </c>
      <c r="J489" s="49">
        <f t="shared" si="13"/>
        <v>71128.54333333332</v>
      </c>
      <c r="K489" s="65">
        <v>1</v>
      </c>
    </row>
    <row r="490" spans="2:11" ht="12" hidden="1" customHeight="1">
      <c r="B490" s="46" t="s">
        <v>1149</v>
      </c>
      <c r="C490" s="47" t="s">
        <v>1150</v>
      </c>
      <c r="D490" s="47" t="s">
        <v>111</v>
      </c>
      <c r="E490" s="48" t="s">
        <v>185</v>
      </c>
      <c r="F490" s="48" t="s">
        <v>184</v>
      </c>
      <c r="G490" s="48">
        <v>33</v>
      </c>
      <c r="H490" s="48">
        <v>33</v>
      </c>
      <c r="I490" s="49">
        <v>2094756.25</v>
      </c>
      <c r="J490" s="49">
        <f t="shared" si="13"/>
        <v>63477.46212121212</v>
      </c>
      <c r="K490" s="65">
        <v>1</v>
      </c>
    </row>
    <row r="491" spans="2:11" ht="12" hidden="1" customHeight="1">
      <c r="B491" s="46" t="s">
        <v>1151</v>
      </c>
      <c r="C491" s="47" t="s">
        <v>1152</v>
      </c>
      <c r="D491" s="47" t="s">
        <v>160</v>
      </c>
      <c r="E491" s="48" t="s">
        <v>185</v>
      </c>
      <c r="F491" s="48" t="s">
        <v>183</v>
      </c>
      <c r="G491" s="48">
        <v>23</v>
      </c>
      <c r="H491" s="48">
        <v>23</v>
      </c>
      <c r="I491" s="49">
        <v>1483769.14</v>
      </c>
      <c r="J491" s="49">
        <f t="shared" si="13"/>
        <v>64511.701739130433</v>
      </c>
      <c r="K491" s="65">
        <v>1</v>
      </c>
    </row>
    <row r="492" spans="2:11" ht="12" hidden="1" customHeight="1">
      <c r="B492" s="46" t="s">
        <v>1153</v>
      </c>
      <c r="C492" s="47" t="s">
        <v>1154</v>
      </c>
      <c r="D492" s="47" t="s">
        <v>41</v>
      </c>
      <c r="E492" s="48" t="s">
        <v>183</v>
      </c>
      <c r="F492" s="48" t="s">
        <v>183</v>
      </c>
      <c r="G492" s="48">
        <v>59</v>
      </c>
      <c r="H492" s="48">
        <v>59</v>
      </c>
      <c r="I492" s="49">
        <v>5031611.83</v>
      </c>
      <c r="J492" s="49">
        <f t="shared" si="13"/>
        <v>85281.556440677974</v>
      </c>
      <c r="K492" s="65">
        <v>1</v>
      </c>
    </row>
    <row r="493" spans="2:11" ht="12" hidden="1" customHeight="1">
      <c r="B493" s="46" t="s">
        <v>1155</v>
      </c>
      <c r="C493" s="47" t="s">
        <v>1156</v>
      </c>
      <c r="D493" s="47" t="s">
        <v>41</v>
      </c>
      <c r="E493" s="48" t="s">
        <v>183</v>
      </c>
      <c r="F493" s="48" t="s">
        <v>183</v>
      </c>
      <c r="G493" s="48">
        <v>37</v>
      </c>
      <c r="H493" s="48">
        <v>37</v>
      </c>
      <c r="I493" s="49">
        <v>1985525.31</v>
      </c>
      <c r="J493" s="49">
        <f t="shared" si="13"/>
        <v>53662.846216216218</v>
      </c>
      <c r="K493" s="65">
        <v>1</v>
      </c>
    </row>
    <row r="494" spans="2:11" ht="12" hidden="1" customHeight="1">
      <c r="B494" s="46" t="s">
        <v>1157</v>
      </c>
      <c r="C494" s="47" t="s">
        <v>1158</v>
      </c>
      <c r="D494" s="47" t="s">
        <v>116</v>
      </c>
      <c r="E494" s="48" t="s">
        <v>183</v>
      </c>
      <c r="F494" s="48" t="s">
        <v>184</v>
      </c>
      <c r="G494" s="48">
        <v>75</v>
      </c>
      <c r="H494" s="48">
        <v>75</v>
      </c>
      <c r="I494" s="49">
        <v>6193847.9299999997</v>
      </c>
      <c r="J494" s="49">
        <f t="shared" si="13"/>
        <v>82584.639066666656</v>
      </c>
      <c r="K494" s="65">
        <v>1</v>
      </c>
    </row>
    <row r="495" spans="2:11" ht="12" hidden="1" customHeight="1">
      <c r="B495" s="46" t="s">
        <v>1159</v>
      </c>
      <c r="C495" s="47" t="s">
        <v>1160</v>
      </c>
      <c r="D495" s="47" t="s">
        <v>137</v>
      </c>
      <c r="E495" s="48" t="s">
        <v>185</v>
      </c>
      <c r="F495" s="48" t="s">
        <v>184</v>
      </c>
      <c r="G495" s="48">
        <v>47</v>
      </c>
      <c r="H495" s="48">
        <v>56</v>
      </c>
      <c r="I495" s="49">
        <v>5773634.6699999999</v>
      </c>
      <c r="J495" s="49">
        <f t="shared" si="13"/>
        <v>122843.29085106382</v>
      </c>
      <c r="K495" s="65">
        <v>1</v>
      </c>
    </row>
    <row r="496" spans="2:11" ht="12" hidden="1" customHeight="1">
      <c r="B496" s="46" t="s">
        <v>1161</v>
      </c>
      <c r="C496" s="47" t="s">
        <v>1162</v>
      </c>
      <c r="D496" s="47" t="s">
        <v>118</v>
      </c>
      <c r="E496" s="48" t="s">
        <v>185</v>
      </c>
      <c r="F496" s="48" t="s">
        <v>183</v>
      </c>
      <c r="G496" s="48">
        <v>22</v>
      </c>
      <c r="H496" s="48">
        <v>22</v>
      </c>
      <c r="I496" s="49">
        <v>2785478.94</v>
      </c>
      <c r="J496" s="49">
        <f t="shared" si="13"/>
        <v>126612.67909090909</v>
      </c>
      <c r="K496" s="65">
        <v>1</v>
      </c>
    </row>
    <row r="497" spans="2:11" ht="12" hidden="1" customHeight="1">
      <c r="B497" s="46" t="s">
        <v>1163</v>
      </c>
      <c r="C497" s="47" t="s">
        <v>1164</v>
      </c>
      <c r="D497" s="47" t="s">
        <v>177</v>
      </c>
      <c r="E497" s="48" t="s">
        <v>183</v>
      </c>
      <c r="F497" s="48" t="s">
        <v>184</v>
      </c>
      <c r="G497" s="48">
        <v>30</v>
      </c>
      <c r="H497" s="48">
        <v>30</v>
      </c>
      <c r="I497" s="49">
        <v>1456823.37</v>
      </c>
      <c r="J497" s="49">
        <f t="shared" si="13"/>
        <v>48560.779000000002</v>
      </c>
      <c r="K497" s="65">
        <v>1</v>
      </c>
    </row>
    <row r="498" spans="2:11" ht="12" hidden="1" customHeight="1">
      <c r="B498" s="46" t="s">
        <v>1165</v>
      </c>
      <c r="C498" s="47" t="s">
        <v>1166</v>
      </c>
      <c r="D498" s="47" t="s">
        <v>39</v>
      </c>
      <c r="E498" s="48" t="s">
        <v>185</v>
      </c>
      <c r="F498" s="48" t="s">
        <v>184</v>
      </c>
      <c r="G498" s="48">
        <v>31</v>
      </c>
      <c r="H498" s="48">
        <v>31</v>
      </c>
      <c r="I498" s="49">
        <v>3637549.28</v>
      </c>
      <c r="J498" s="49">
        <f t="shared" si="13"/>
        <v>117340.2993548387</v>
      </c>
      <c r="K498" s="65">
        <v>1</v>
      </c>
    </row>
    <row r="499" spans="2:11" ht="12" hidden="1" customHeight="1">
      <c r="B499" s="46" t="s">
        <v>1167</v>
      </c>
      <c r="C499" s="47" t="s">
        <v>1168</v>
      </c>
      <c r="D499" s="47" t="s">
        <v>151</v>
      </c>
      <c r="E499" s="48" t="s">
        <v>183</v>
      </c>
      <c r="F499" s="48" t="s">
        <v>184</v>
      </c>
      <c r="G499" s="48">
        <v>75</v>
      </c>
      <c r="H499" s="48">
        <v>75</v>
      </c>
      <c r="I499" s="49">
        <v>10957440.779999999</v>
      </c>
      <c r="J499" s="49">
        <f t="shared" si="13"/>
        <v>146099.21039999998</v>
      </c>
      <c r="K499" s="65">
        <v>1</v>
      </c>
    </row>
    <row r="500" spans="2:11" ht="12" hidden="1" customHeight="1">
      <c r="B500" s="46" t="s">
        <v>1169</v>
      </c>
      <c r="C500" s="47" t="s">
        <v>1170</v>
      </c>
      <c r="D500" s="47" t="s">
        <v>142</v>
      </c>
      <c r="E500" s="48" t="s">
        <v>183</v>
      </c>
      <c r="F500" s="48" t="s">
        <v>184</v>
      </c>
      <c r="G500" s="48">
        <v>90</v>
      </c>
      <c r="H500" s="48">
        <v>90</v>
      </c>
      <c r="I500" s="49">
        <v>6454702.9100000001</v>
      </c>
      <c r="J500" s="49">
        <f t="shared" si="13"/>
        <v>71718.921222222227</v>
      </c>
      <c r="K500" s="65">
        <v>1</v>
      </c>
    </row>
    <row r="501" spans="2:11" ht="12" hidden="1" customHeight="1">
      <c r="B501" s="46" t="s">
        <v>1171</v>
      </c>
      <c r="C501" s="47" t="s">
        <v>1172</v>
      </c>
      <c r="D501" s="47" t="s">
        <v>130</v>
      </c>
      <c r="E501" s="48" t="s">
        <v>185</v>
      </c>
      <c r="F501" s="48" t="s">
        <v>183</v>
      </c>
      <c r="G501" s="48">
        <v>40</v>
      </c>
      <c r="H501" s="48">
        <v>40</v>
      </c>
      <c r="I501" s="49">
        <v>2377604.4700000002</v>
      </c>
      <c r="J501" s="49">
        <f t="shared" si="13"/>
        <v>59440.111750000004</v>
      </c>
      <c r="K501" s="65">
        <v>1</v>
      </c>
    </row>
    <row r="502" spans="2:11" ht="12" hidden="1" customHeight="1">
      <c r="B502" s="46" t="s">
        <v>1171</v>
      </c>
      <c r="C502" s="47" t="s">
        <v>1172</v>
      </c>
      <c r="D502" s="47" t="s">
        <v>130</v>
      </c>
      <c r="E502" s="48" t="s">
        <v>185</v>
      </c>
      <c r="F502" s="48" t="s">
        <v>183</v>
      </c>
      <c r="G502" s="48">
        <v>0</v>
      </c>
      <c r="H502" s="48">
        <v>0</v>
      </c>
      <c r="I502" s="49">
        <v>2290450.85</v>
      </c>
      <c r="J502" s="49" t="e">
        <f t="shared" si="13"/>
        <v>#DIV/0!</v>
      </c>
      <c r="K502" s="65">
        <v>1</v>
      </c>
    </row>
    <row r="503" spans="2:11" ht="12" hidden="1" customHeight="1">
      <c r="B503" s="46" t="s">
        <v>1173</v>
      </c>
      <c r="C503" s="47" t="s">
        <v>1174</v>
      </c>
      <c r="D503" s="47" t="s">
        <v>144</v>
      </c>
      <c r="E503" s="48" t="s">
        <v>185</v>
      </c>
      <c r="F503" s="48" t="s">
        <v>184</v>
      </c>
      <c r="G503" s="48">
        <v>0</v>
      </c>
      <c r="H503" s="48">
        <v>0</v>
      </c>
      <c r="I503" s="49">
        <v>622925.93000000005</v>
      </c>
      <c r="J503" s="49" t="e">
        <f t="shared" si="13"/>
        <v>#DIV/0!</v>
      </c>
      <c r="K503" s="65">
        <v>1</v>
      </c>
    </row>
    <row r="504" spans="2:11" ht="12" hidden="1" customHeight="1">
      <c r="B504" s="46" t="s">
        <v>1175</v>
      </c>
      <c r="C504" s="47" t="s">
        <v>1176</v>
      </c>
      <c r="D504" s="47" t="s">
        <v>152</v>
      </c>
      <c r="E504" s="48" t="s">
        <v>183</v>
      </c>
      <c r="F504" s="48" t="s">
        <v>184</v>
      </c>
      <c r="G504" s="48">
        <v>80</v>
      </c>
      <c r="H504" s="48">
        <v>80</v>
      </c>
      <c r="I504" s="49">
        <v>4919011.57</v>
      </c>
      <c r="J504" s="49">
        <f t="shared" si="13"/>
        <v>61487.644625000001</v>
      </c>
      <c r="K504" s="65">
        <v>1</v>
      </c>
    </row>
    <row r="505" spans="2:11" ht="12" hidden="1" customHeight="1">
      <c r="B505" s="46" t="s">
        <v>1177</v>
      </c>
      <c r="C505" s="47" t="s">
        <v>1178</v>
      </c>
      <c r="D505" s="47" t="s">
        <v>141</v>
      </c>
      <c r="E505" s="48" t="s">
        <v>185</v>
      </c>
      <c r="F505" s="48" t="s">
        <v>183</v>
      </c>
      <c r="G505" s="48">
        <v>42</v>
      </c>
      <c r="H505" s="48">
        <v>42</v>
      </c>
      <c r="I505" s="49">
        <v>4696639.42</v>
      </c>
      <c r="J505" s="49">
        <f t="shared" si="13"/>
        <v>111824.74809523809</v>
      </c>
      <c r="K505" s="65">
        <v>1</v>
      </c>
    </row>
    <row r="506" spans="2:11" ht="12" hidden="1" customHeight="1">
      <c r="B506" s="46" t="s">
        <v>1179</v>
      </c>
      <c r="C506" s="47" t="s">
        <v>1180</v>
      </c>
      <c r="D506" s="47" t="s">
        <v>161</v>
      </c>
      <c r="E506" s="48" t="s">
        <v>185</v>
      </c>
      <c r="F506" s="48" t="s">
        <v>184</v>
      </c>
      <c r="G506" s="48">
        <v>31</v>
      </c>
      <c r="H506" s="48">
        <v>31</v>
      </c>
      <c r="I506" s="49">
        <v>2546888.7599999998</v>
      </c>
      <c r="J506" s="49">
        <f t="shared" si="13"/>
        <v>82157.70193548387</v>
      </c>
      <c r="K506" s="65">
        <v>1</v>
      </c>
    </row>
    <row r="507" spans="2:11" ht="12" hidden="1" customHeight="1">
      <c r="B507" s="46" t="s">
        <v>1181</v>
      </c>
      <c r="C507" s="47" t="s">
        <v>1182</v>
      </c>
      <c r="D507" s="47" t="s">
        <v>151</v>
      </c>
      <c r="E507" s="48" t="s">
        <v>185</v>
      </c>
      <c r="F507" s="48" t="s">
        <v>184</v>
      </c>
      <c r="G507" s="48">
        <v>75</v>
      </c>
      <c r="H507" s="48">
        <v>79</v>
      </c>
      <c r="I507" s="49">
        <v>12297771.92</v>
      </c>
      <c r="J507" s="49">
        <f t="shared" si="13"/>
        <v>163970.29226666666</v>
      </c>
      <c r="K507" s="65">
        <v>1</v>
      </c>
    </row>
    <row r="508" spans="2:11" ht="12" hidden="1" customHeight="1">
      <c r="B508" s="46" t="s">
        <v>1183</v>
      </c>
      <c r="C508" s="47" t="s">
        <v>1184</v>
      </c>
      <c r="D508" s="47" t="s">
        <v>39</v>
      </c>
      <c r="E508" s="48" t="s">
        <v>185</v>
      </c>
      <c r="F508" s="48" t="s">
        <v>184</v>
      </c>
      <c r="G508" s="48">
        <v>26</v>
      </c>
      <c r="H508" s="48">
        <v>26</v>
      </c>
      <c r="I508" s="49">
        <v>3237226.52</v>
      </c>
      <c r="J508" s="49">
        <f t="shared" si="13"/>
        <v>124508.7123076923</v>
      </c>
      <c r="K508" s="65">
        <v>1</v>
      </c>
    </row>
    <row r="509" spans="2:11" ht="12" customHeight="1">
      <c r="B509" s="46" t="s">
        <v>1185</v>
      </c>
      <c r="C509" s="47" t="s">
        <v>1186</v>
      </c>
      <c r="D509" s="47" t="s">
        <v>128</v>
      </c>
      <c r="E509" s="48" t="s">
        <v>185</v>
      </c>
      <c r="F509" s="48" t="s">
        <v>184</v>
      </c>
      <c r="G509" s="48">
        <v>68</v>
      </c>
      <c r="H509" s="48">
        <v>80</v>
      </c>
      <c r="I509" s="49">
        <v>10664803.189999999</v>
      </c>
      <c r="J509" s="49">
        <f t="shared" si="13"/>
        <v>156835.34102941176</v>
      </c>
      <c r="K509" s="65">
        <v>1</v>
      </c>
    </row>
    <row r="510" spans="2:11" ht="12" hidden="1" customHeight="1">
      <c r="B510" s="46" t="s">
        <v>1187</v>
      </c>
      <c r="C510" s="47" t="s">
        <v>1188</v>
      </c>
      <c r="D510" s="47" t="s">
        <v>171</v>
      </c>
      <c r="E510" s="48" t="s">
        <v>183</v>
      </c>
      <c r="F510" s="48" t="s">
        <v>183</v>
      </c>
      <c r="G510" s="48">
        <v>25</v>
      </c>
      <c r="H510" s="48">
        <v>25</v>
      </c>
      <c r="I510" s="49">
        <v>948381.44</v>
      </c>
      <c r="J510" s="49">
        <f t="shared" si="13"/>
        <v>37935.257599999997</v>
      </c>
      <c r="K510" s="65">
        <v>1</v>
      </c>
    </row>
    <row r="511" spans="2:11" ht="12" hidden="1" customHeight="1">
      <c r="B511" s="46" t="s">
        <v>1189</v>
      </c>
      <c r="C511" s="47" t="s">
        <v>1190</v>
      </c>
      <c r="D511" s="47" t="s">
        <v>171</v>
      </c>
      <c r="E511" s="48" t="s">
        <v>183</v>
      </c>
      <c r="F511" s="48" t="s">
        <v>183</v>
      </c>
      <c r="G511" s="48">
        <v>32</v>
      </c>
      <c r="H511" s="48">
        <v>32</v>
      </c>
      <c r="I511" s="49">
        <v>1528578.8</v>
      </c>
      <c r="J511" s="49">
        <f t="shared" si="13"/>
        <v>47768.087500000001</v>
      </c>
      <c r="K511" s="65">
        <v>1</v>
      </c>
    </row>
    <row r="512" spans="2:11" ht="12" hidden="1" customHeight="1">
      <c r="B512" s="46" t="s">
        <v>1191</v>
      </c>
      <c r="C512" s="47" t="s">
        <v>1192</v>
      </c>
      <c r="D512" s="47" t="s">
        <v>138</v>
      </c>
      <c r="E512" s="48" t="s">
        <v>183</v>
      </c>
      <c r="F512" s="48" t="s">
        <v>184</v>
      </c>
      <c r="G512" s="48">
        <v>87</v>
      </c>
      <c r="H512" s="48">
        <v>87</v>
      </c>
      <c r="I512" s="49">
        <v>4141065.99</v>
      </c>
      <c r="J512" s="49">
        <f t="shared" si="13"/>
        <v>47598.459655172417</v>
      </c>
      <c r="K512" s="65">
        <v>1</v>
      </c>
    </row>
    <row r="513" spans="2:11" ht="12" hidden="1" customHeight="1">
      <c r="B513" s="46" t="s">
        <v>1193</v>
      </c>
      <c r="C513" s="47" t="s">
        <v>1194</v>
      </c>
      <c r="D513" s="47" t="s">
        <v>138</v>
      </c>
      <c r="E513" s="48" t="s">
        <v>183</v>
      </c>
      <c r="F513" s="48" t="s">
        <v>184</v>
      </c>
      <c r="G513" s="48">
        <v>60</v>
      </c>
      <c r="H513" s="48">
        <v>60</v>
      </c>
      <c r="I513" s="49">
        <v>3306227.27</v>
      </c>
      <c r="J513" s="49">
        <f t="shared" si="13"/>
        <v>55103.787833333336</v>
      </c>
      <c r="K513" s="65">
        <v>1</v>
      </c>
    </row>
    <row r="514" spans="2:11" ht="12" hidden="1" customHeight="1">
      <c r="B514" s="46" t="s">
        <v>1195</v>
      </c>
      <c r="C514" s="47" t="s">
        <v>1196</v>
      </c>
      <c r="D514" s="47" t="s">
        <v>108</v>
      </c>
      <c r="E514" s="48" t="s">
        <v>183</v>
      </c>
      <c r="F514" s="48" t="s">
        <v>183</v>
      </c>
      <c r="G514" s="48">
        <v>80</v>
      </c>
      <c r="H514" s="48">
        <v>80</v>
      </c>
      <c r="I514" s="49">
        <v>4888659.4400000004</v>
      </c>
      <c r="J514" s="49">
        <f t="shared" si="13"/>
        <v>61108.243000000002</v>
      </c>
      <c r="K514" s="65">
        <v>1</v>
      </c>
    </row>
    <row r="515" spans="2:11" ht="12" hidden="1" customHeight="1">
      <c r="B515" s="46" t="s">
        <v>1197</v>
      </c>
      <c r="C515" s="47" t="s">
        <v>1198</v>
      </c>
      <c r="D515" s="47" t="s">
        <v>108</v>
      </c>
      <c r="E515" s="48" t="s">
        <v>183</v>
      </c>
      <c r="F515" s="48" t="s">
        <v>183</v>
      </c>
      <c r="G515" s="48">
        <v>60</v>
      </c>
      <c r="H515" s="48">
        <v>60</v>
      </c>
      <c r="I515" s="49">
        <v>3480760.64</v>
      </c>
      <c r="J515" s="49">
        <f t="shared" si="13"/>
        <v>58012.677333333333</v>
      </c>
      <c r="K515" s="65">
        <v>1</v>
      </c>
    </row>
    <row r="516" spans="2:11" ht="12" hidden="1" customHeight="1">
      <c r="B516" s="46" t="s">
        <v>1199</v>
      </c>
      <c r="C516" s="47" t="s">
        <v>1200</v>
      </c>
      <c r="D516" s="47" t="s">
        <v>179</v>
      </c>
      <c r="E516" s="48" t="s">
        <v>183</v>
      </c>
      <c r="F516" s="48" t="s">
        <v>183</v>
      </c>
      <c r="G516" s="48">
        <v>40</v>
      </c>
      <c r="H516" s="48">
        <v>45</v>
      </c>
      <c r="I516" s="49">
        <v>3222738.22</v>
      </c>
      <c r="J516" s="49">
        <f t="shared" si="13"/>
        <v>80568.455500000011</v>
      </c>
      <c r="K516" s="65">
        <v>1</v>
      </c>
    </row>
    <row r="517" spans="2:11" ht="12" hidden="1" customHeight="1">
      <c r="B517" s="46" t="s">
        <v>1201</v>
      </c>
      <c r="C517" s="47" t="s">
        <v>1202</v>
      </c>
      <c r="D517" s="47" t="s">
        <v>179</v>
      </c>
      <c r="E517" s="48" t="s">
        <v>183</v>
      </c>
      <c r="F517" s="48" t="s">
        <v>183</v>
      </c>
      <c r="G517" s="48">
        <v>40</v>
      </c>
      <c r="H517" s="48">
        <v>51</v>
      </c>
      <c r="I517" s="49">
        <v>3006617.22</v>
      </c>
      <c r="J517" s="49">
        <f t="shared" ref="J517:J544" si="14">IF(I517&gt;0,I517/G517,"")</f>
        <v>75165.430500000002</v>
      </c>
      <c r="K517" s="65">
        <v>1</v>
      </c>
    </row>
    <row r="518" spans="2:11" ht="12" hidden="1" customHeight="1">
      <c r="B518" s="46" t="s">
        <v>1203</v>
      </c>
      <c r="C518" s="47" t="s">
        <v>1204</v>
      </c>
      <c r="D518" s="47" t="s">
        <v>179</v>
      </c>
      <c r="E518" s="48" t="s">
        <v>183</v>
      </c>
      <c r="F518" s="48" t="s">
        <v>183</v>
      </c>
      <c r="G518" s="48">
        <v>24</v>
      </c>
      <c r="H518" s="48">
        <v>24</v>
      </c>
      <c r="I518" s="49">
        <v>778878.08</v>
      </c>
      <c r="J518" s="49">
        <f t="shared" si="14"/>
        <v>32453.25333333333</v>
      </c>
      <c r="K518" s="65">
        <v>1</v>
      </c>
    </row>
    <row r="519" spans="2:11" ht="12" hidden="1" customHeight="1">
      <c r="B519" s="46" t="s">
        <v>1205</v>
      </c>
      <c r="C519" s="47" t="s">
        <v>1206</v>
      </c>
      <c r="D519" s="47" t="s">
        <v>112</v>
      </c>
      <c r="E519" s="48" t="s">
        <v>185</v>
      </c>
      <c r="F519" s="48" t="s">
        <v>184</v>
      </c>
      <c r="G519" s="48">
        <v>76</v>
      </c>
      <c r="H519" s="48">
        <v>76</v>
      </c>
      <c r="I519" s="49">
        <v>15247642.029999999</v>
      </c>
      <c r="J519" s="49">
        <f t="shared" si="14"/>
        <v>200626.86881578946</v>
      </c>
      <c r="K519" s="65">
        <v>1</v>
      </c>
    </row>
    <row r="520" spans="2:11" ht="12" hidden="1" customHeight="1">
      <c r="B520" s="46" t="s">
        <v>1207</v>
      </c>
      <c r="C520" s="47" t="s">
        <v>1208</v>
      </c>
      <c r="D520" s="47" t="s">
        <v>152</v>
      </c>
      <c r="E520" s="48" t="s">
        <v>185</v>
      </c>
      <c r="F520" s="48" t="s">
        <v>184</v>
      </c>
      <c r="G520" s="48">
        <v>70</v>
      </c>
      <c r="H520" s="48">
        <v>70</v>
      </c>
      <c r="I520" s="49">
        <v>8547749.8399999999</v>
      </c>
      <c r="J520" s="49">
        <f t="shared" si="14"/>
        <v>122110.712</v>
      </c>
      <c r="K520" s="65">
        <v>1</v>
      </c>
    </row>
    <row r="521" spans="2:11" ht="12" hidden="1" customHeight="1">
      <c r="B521" s="46" t="s">
        <v>1209</v>
      </c>
      <c r="C521" s="47" t="s">
        <v>1210</v>
      </c>
      <c r="D521" s="47" t="s">
        <v>106</v>
      </c>
      <c r="E521" s="48" t="s">
        <v>183</v>
      </c>
      <c r="F521" s="48" t="s">
        <v>184</v>
      </c>
      <c r="G521" s="48">
        <v>83</v>
      </c>
      <c r="H521" s="48">
        <v>83</v>
      </c>
      <c r="I521" s="49">
        <v>6342166.5</v>
      </c>
      <c r="J521" s="49">
        <f t="shared" si="14"/>
        <v>76411.644578313251</v>
      </c>
      <c r="K521" s="65">
        <v>1</v>
      </c>
    </row>
    <row r="522" spans="2:11" ht="12" hidden="1" customHeight="1">
      <c r="B522" s="46" t="s">
        <v>1211</v>
      </c>
      <c r="C522" s="47" t="s">
        <v>1212</v>
      </c>
      <c r="D522" s="47" t="s">
        <v>129</v>
      </c>
      <c r="E522" s="48" t="s">
        <v>185</v>
      </c>
      <c r="F522" s="48" t="s">
        <v>183</v>
      </c>
      <c r="G522" s="48">
        <v>70</v>
      </c>
      <c r="H522" s="48">
        <v>70</v>
      </c>
      <c r="I522" s="49">
        <v>4414303.9000000004</v>
      </c>
      <c r="J522" s="49">
        <f t="shared" si="14"/>
        <v>63061.484285714294</v>
      </c>
      <c r="K522" s="65">
        <v>1</v>
      </c>
    </row>
    <row r="523" spans="2:11" ht="12" hidden="1" customHeight="1">
      <c r="B523" s="46" t="s">
        <v>1213</v>
      </c>
      <c r="C523" s="47" t="s">
        <v>1214</v>
      </c>
      <c r="D523" s="47" t="s">
        <v>151</v>
      </c>
      <c r="E523" s="48" t="s">
        <v>183</v>
      </c>
      <c r="F523" s="48" t="s">
        <v>184</v>
      </c>
      <c r="G523" s="48">
        <v>67</v>
      </c>
      <c r="H523" s="48">
        <v>67</v>
      </c>
      <c r="I523" s="49">
        <v>3467030.08</v>
      </c>
      <c r="J523" s="49">
        <f t="shared" si="14"/>
        <v>51746.717611940301</v>
      </c>
      <c r="K523" s="65">
        <v>1</v>
      </c>
    </row>
    <row r="524" spans="2:11" ht="12" hidden="1" customHeight="1">
      <c r="B524" s="46" t="s">
        <v>1215</v>
      </c>
      <c r="C524" s="47" t="s">
        <v>1216</v>
      </c>
      <c r="D524" s="47" t="s">
        <v>175</v>
      </c>
      <c r="E524" s="48" t="s">
        <v>183</v>
      </c>
      <c r="F524" s="48" t="s">
        <v>184</v>
      </c>
      <c r="G524" s="48">
        <v>0</v>
      </c>
      <c r="H524" s="48">
        <v>0</v>
      </c>
      <c r="I524" s="49">
        <v>0</v>
      </c>
      <c r="J524" s="49" t="str">
        <f t="shared" si="14"/>
        <v/>
      </c>
      <c r="K524" s="65">
        <v>1</v>
      </c>
    </row>
    <row r="525" spans="2:11" ht="12" hidden="1" customHeight="1">
      <c r="B525" s="46" t="s">
        <v>1217</v>
      </c>
      <c r="C525" s="47" t="s">
        <v>1218</v>
      </c>
      <c r="D525" s="47" t="s">
        <v>175</v>
      </c>
      <c r="E525" s="48" t="s">
        <v>185</v>
      </c>
      <c r="F525" s="48" t="s">
        <v>184</v>
      </c>
      <c r="G525" s="48">
        <v>80</v>
      </c>
      <c r="H525" s="48">
        <v>80</v>
      </c>
      <c r="I525" s="49">
        <v>17149393.710000001</v>
      </c>
      <c r="J525" s="49">
        <f t="shared" si="14"/>
        <v>214367.42137500001</v>
      </c>
      <c r="K525" s="65">
        <v>1</v>
      </c>
    </row>
    <row r="526" spans="2:11" ht="12" hidden="1" customHeight="1">
      <c r="B526" s="46" t="s">
        <v>1219</v>
      </c>
      <c r="C526" s="47" t="s">
        <v>1220</v>
      </c>
      <c r="D526" s="47" t="s">
        <v>175</v>
      </c>
      <c r="E526" s="48" t="s">
        <v>183</v>
      </c>
      <c r="F526" s="48" t="s">
        <v>184</v>
      </c>
      <c r="G526" s="48">
        <v>60</v>
      </c>
      <c r="H526" s="48">
        <v>60</v>
      </c>
      <c r="I526" s="49">
        <v>2833679.77</v>
      </c>
      <c r="J526" s="49">
        <f t="shared" si="14"/>
        <v>47227.996166666664</v>
      </c>
      <c r="K526" s="65">
        <v>1</v>
      </c>
    </row>
    <row r="527" spans="2:11" ht="12" hidden="1" customHeight="1">
      <c r="B527" s="46" t="s">
        <v>1221</v>
      </c>
      <c r="C527" s="47" t="s">
        <v>1222</v>
      </c>
      <c r="D527" s="47" t="s">
        <v>106</v>
      </c>
      <c r="E527" s="48" t="s">
        <v>183</v>
      </c>
      <c r="F527" s="48" t="s">
        <v>184</v>
      </c>
      <c r="G527" s="48">
        <v>31</v>
      </c>
      <c r="H527" s="48">
        <v>31</v>
      </c>
      <c r="I527" s="49">
        <v>660122.81999999995</v>
      </c>
      <c r="J527" s="49">
        <f t="shared" si="14"/>
        <v>21294.284516129032</v>
      </c>
      <c r="K527" s="65">
        <v>1</v>
      </c>
    </row>
    <row r="528" spans="2:11" ht="12" hidden="1" customHeight="1">
      <c r="B528" s="46" t="s">
        <v>1223</v>
      </c>
      <c r="C528" s="47" t="s">
        <v>1224</v>
      </c>
      <c r="D528" s="47" t="s">
        <v>134</v>
      </c>
      <c r="E528" s="48" t="s">
        <v>183</v>
      </c>
      <c r="F528" s="48" t="s">
        <v>183</v>
      </c>
      <c r="G528" s="48">
        <v>34</v>
      </c>
      <c r="H528" s="48">
        <v>34</v>
      </c>
      <c r="I528" s="49">
        <v>1858845.88</v>
      </c>
      <c r="J528" s="49">
        <f t="shared" si="14"/>
        <v>54671.937647058818</v>
      </c>
      <c r="K528" s="65">
        <v>1</v>
      </c>
    </row>
    <row r="529" spans="2:11" ht="12" hidden="1" customHeight="1">
      <c r="B529" s="46" t="s">
        <v>1225</v>
      </c>
      <c r="C529" s="47" t="s">
        <v>1226</v>
      </c>
      <c r="D529" s="47" t="s">
        <v>147</v>
      </c>
      <c r="E529" s="48" t="s">
        <v>185</v>
      </c>
      <c r="F529" s="48" t="s">
        <v>184</v>
      </c>
      <c r="G529" s="48">
        <v>80</v>
      </c>
      <c r="H529" s="48">
        <v>80</v>
      </c>
      <c r="I529" s="49">
        <v>10464476.59</v>
      </c>
      <c r="J529" s="49">
        <f t="shared" si="14"/>
        <v>130805.957375</v>
      </c>
      <c r="K529" s="65">
        <v>1</v>
      </c>
    </row>
    <row r="530" spans="2:11" ht="12" hidden="1" customHeight="1">
      <c r="B530" s="46" t="s">
        <v>1227</v>
      </c>
      <c r="C530" s="47" t="s">
        <v>1228</v>
      </c>
      <c r="D530" s="47" t="s">
        <v>112</v>
      </c>
      <c r="E530" s="48" t="s">
        <v>185</v>
      </c>
      <c r="F530" s="48" t="s">
        <v>184</v>
      </c>
      <c r="G530" s="48">
        <v>78</v>
      </c>
      <c r="H530" s="48">
        <v>88</v>
      </c>
      <c r="I530" s="49">
        <v>15674870.029999999</v>
      </c>
      <c r="J530" s="49">
        <f t="shared" si="14"/>
        <v>200959.87217948717</v>
      </c>
      <c r="K530" s="65">
        <v>1</v>
      </c>
    </row>
    <row r="531" spans="2:11" ht="12" hidden="1" customHeight="1">
      <c r="B531" s="46" t="s">
        <v>1229</v>
      </c>
      <c r="C531" s="47" t="s">
        <v>1230</v>
      </c>
      <c r="D531" s="47" t="s">
        <v>155</v>
      </c>
      <c r="E531" s="48" t="s">
        <v>185</v>
      </c>
      <c r="F531" s="48" t="s">
        <v>184</v>
      </c>
      <c r="G531" s="48">
        <v>40</v>
      </c>
      <c r="H531" s="48">
        <v>40</v>
      </c>
      <c r="I531" s="49">
        <v>4299999.71</v>
      </c>
      <c r="J531" s="49">
        <f t="shared" si="14"/>
        <v>107499.99275</v>
      </c>
      <c r="K531" s="65">
        <v>1</v>
      </c>
    </row>
    <row r="532" spans="2:11" ht="12" hidden="1" customHeight="1">
      <c r="B532" s="46" t="s">
        <v>1231</v>
      </c>
      <c r="C532" s="47" t="s">
        <v>1232</v>
      </c>
      <c r="D532" s="47" t="s">
        <v>135</v>
      </c>
      <c r="E532" s="48" t="s">
        <v>185</v>
      </c>
      <c r="F532" s="48" t="s">
        <v>184</v>
      </c>
      <c r="G532" s="48">
        <v>40</v>
      </c>
      <c r="H532" s="48">
        <v>42</v>
      </c>
      <c r="I532" s="49">
        <v>4521587.53</v>
      </c>
      <c r="J532" s="49">
        <f t="shared" si="14"/>
        <v>113039.68825000001</v>
      </c>
      <c r="K532" s="65">
        <v>1</v>
      </c>
    </row>
    <row r="533" spans="2:11" ht="12" hidden="1" customHeight="1">
      <c r="B533" s="46" t="s">
        <v>1233</v>
      </c>
      <c r="C533" s="47" t="s">
        <v>1234</v>
      </c>
      <c r="D533" s="47" t="s">
        <v>175</v>
      </c>
      <c r="E533" s="48" t="s">
        <v>185</v>
      </c>
      <c r="F533" s="48" t="s">
        <v>184</v>
      </c>
      <c r="G533" s="48">
        <v>68</v>
      </c>
      <c r="H533" s="48">
        <v>70</v>
      </c>
      <c r="I533" s="49">
        <v>9231900.1799999997</v>
      </c>
      <c r="J533" s="49">
        <f t="shared" si="14"/>
        <v>135763.23794117646</v>
      </c>
      <c r="K533" s="65">
        <v>1</v>
      </c>
    </row>
    <row r="534" spans="2:11" ht="12" hidden="1" customHeight="1">
      <c r="B534" s="46" t="s">
        <v>1235</v>
      </c>
      <c r="C534" s="47" t="s">
        <v>1236</v>
      </c>
      <c r="D534" s="47" t="s">
        <v>179</v>
      </c>
      <c r="E534" s="48" t="s">
        <v>185</v>
      </c>
      <c r="F534" s="48" t="s">
        <v>183</v>
      </c>
      <c r="G534" s="48">
        <v>0</v>
      </c>
      <c r="H534" s="48">
        <v>0</v>
      </c>
      <c r="I534" s="49">
        <v>1276228.3999999999</v>
      </c>
      <c r="J534" s="49" t="e">
        <f t="shared" si="14"/>
        <v>#DIV/0!</v>
      </c>
      <c r="K534" s="65">
        <v>1</v>
      </c>
    </row>
    <row r="535" spans="2:11" ht="12" hidden="1" customHeight="1">
      <c r="B535" s="46" t="s">
        <v>1235</v>
      </c>
      <c r="C535" s="47" t="s">
        <v>1236</v>
      </c>
      <c r="D535" s="47" t="s">
        <v>179</v>
      </c>
      <c r="E535" s="48" t="s">
        <v>185</v>
      </c>
      <c r="F535" s="48" t="s">
        <v>183</v>
      </c>
      <c r="G535" s="48">
        <v>34</v>
      </c>
      <c r="H535" s="48">
        <v>34</v>
      </c>
      <c r="I535" s="49">
        <v>1181325.46</v>
      </c>
      <c r="J535" s="49">
        <f t="shared" si="14"/>
        <v>34744.866470588233</v>
      </c>
      <c r="K535" s="65">
        <v>1</v>
      </c>
    </row>
    <row r="536" spans="2:11" ht="12" hidden="1" customHeight="1">
      <c r="B536" s="46" t="s">
        <v>1237</v>
      </c>
      <c r="C536" s="47" t="s">
        <v>1238</v>
      </c>
      <c r="D536" s="47" t="s">
        <v>151</v>
      </c>
      <c r="E536" s="48" t="s">
        <v>185</v>
      </c>
      <c r="F536" s="48" t="s">
        <v>184</v>
      </c>
      <c r="G536" s="48">
        <v>40</v>
      </c>
      <c r="H536" s="48">
        <v>50</v>
      </c>
      <c r="I536" s="49">
        <v>4543184.3600000003</v>
      </c>
      <c r="J536" s="49">
        <f t="shared" si="14"/>
        <v>113579.60900000001</v>
      </c>
      <c r="K536" s="65">
        <v>1</v>
      </c>
    </row>
    <row r="537" spans="2:11" ht="12" hidden="1" customHeight="1">
      <c r="B537" s="46" t="s">
        <v>1239</v>
      </c>
      <c r="C537" s="47" t="s">
        <v>1240</v>
      </c>
      <c r="D537" s="47" t="s">
        <v>174</v>
      </c>
      <c r="E537" s="48" t="s">
        <v>183</v>
      </c>
      <c r="F537" s="48" t="s">
        <v>184</v>
      </c>
      <c r="G537" s="48">
        <v>50</v>
      </c>
      <c r="H537" s="48">
        <v>50</v>
      </c>
      <c r="I537" s="49">
        <v>2862223.89</v>
      </c>
      <c r="J537" s="49">
        <f t="shared" si="14"/>
        <v>57244.477800000001</v>
      </c>
      <c r="K537" s="65">
        <v>1</v>
      </c>
    </row>
    <row r="538" spans="2:11" ht="12" hidden="1" customHeight="1">
      <c r="B538" s="46" t="s">
        <v>1241</v>
      </c>
      <c r="C538" s="47" t="s">
        <v>1242</v>
      </c>
      <c r="D538" s="47" t="s">
        <v>133</v>
      </c>
      <c r="E538" s="48" t="s">
        <v>183</v>
      </c>
      <c r="F538" s="48" t="s">
        <v>184</v>
      </c>
      <c r="G538" s="48">
        <v>42</v>
      </c>
      <c r="H538" s="48">
        <v>42</v>
      </c>
      <c r="I538" s="49">
        <v>1247627.1399999999</v>
      </c>
      <c r="J538" s="49">
        <f t="shared" si="14"/>
        <v>29705.408095238094</v>
      </c>
      <c r="K538" s="65">
        <v>1</v>
      </c>
    </row>
    <row r="539" spans="2:11" ht="12" hidden="1" customHeight="1">
      <c r="B539" s="46" t="s">
        <v>1243</v>
      </c>
      <c r="C539" s="47" t="s">
        <v>1244</v>
      </c>
      <c r="D539" s="47" t="s">
        <v>127</v>
      </c>
      <c r="E539" s="48" t="s">
        <v>185</v>
      </c>
      <c r="F539" s="48" t="s">
        <v>183</v>
      </c>
      <c r="G539" s="48">
        <v>0</v>
      </c>
      <c r="H539" s="48">
        <v>0</v>
      </c>
      <c r="I539" s="49">
        <v>2744939.22</v>
      </c>
      <c r="J539" s="49" t="e">
        <f t="shared" si="14"/>
        <v>#DIV/0!</v>
      </c>
      <c r="K539" s="65">
        <v>1</v>
      </c>
    </row>
    <row r="540" spans="2:11" ht="12" hidden="1" customHeight="1">
      <c r="B540" s="46" t="s">
        <v>1243</v>
      </c>
      <c r="C540" s="47" t="s">
        <v>1244</v>
      </c>
      <c r="D540" s="47" t="s">
        <v>127</v>
      </c>
      <c r="E540" s="48" t="s">
        <v>185</v>
      </c>
      <c r="F540" s="48" t="s">
        <v>183</v>
      </c>
      <c r="G540" s="48">
        <v>40</v>
      </c>
      <c r="H540" s="48">
        <v>40</v>
      </c>
      <c r="I540" s="49">
        <v>2500390.91</v>
      </c>
      <c r="J540" s="49">
        <f t="shared" si="14"/>
        <v>62509.772750000004</v>
      </c>
      <c r="K540" s="65">
        <v>1</v>
      </c>
    </row>
    <row r="541" spans="2:11" ht="12" hidden="1" customHeight="1">
      <c r="B541" s="46" t="s">
        <v>1245</v>
      </c>
      <c r="C541" s="47" t="s">
        <v>1246</v>
      </c>
      <c r="D541" s="47" t="s">
        <v>107</v>
      </c>
      <c r="E541" s="48" t="s">
        <v>183</v>
      </c>
      <c r="F541" s="48" t="s">
        <v>183</v>
      </c>
      <c r="G541" s="48">
        <v>68</v>
      </c>
      <c r="H541" s="48">
        <v>68</v>
      </c>
      <c r="I541" s="49">
        <v>5032701.7</v>
      </c>
      <c r="J541" s="49">
        <f t="shared" si="14"/>
        <v>74010.319117647057</v>
      </c>
      <c r="K541" s="65">
        <v>1</v>
      </c>
    </row>
    <row r="542" spans="2:11" ht="12" hidden="1" customHeight="1">
      <c r="B542" s="46" t="s">
        <v>1247</v>
      </c>
      <c r="C542" s="47" t="s">
        <v>1248</v>
      </c>
      <c r="D542" s="47" t="s">
        <v>107</v>
      </c>
      <c r="E542" s="48" t="s">
        <v>183</v>
      </c>
      <c r="F542" s="48" t="s">
        <v>183</v>
      </c>
      <c r="G542" s="48">
        <v>15</v>
      </c>
      <c r="H542" s="48">
        <v>15</v>
      </c>
      <c r="I542" s="49">
        <v>362213.89</v>
      </c>
      <c r="J542" s="49">
        <f t="shared" si="14"/>
        <v>24147.592666666667</v>
      </c>
      <c r="K542" s="65">
        <v>1</v>
      </c>
    </row>
    <row r="543" spans="2:11" ht="12" hidden="1" customHeight="1">
      <c r="B543" s="46" t="s">
        <v>1249</v>
      </c>
      <c r="C543" s="47" t="s">
        <v>1250</v>
      </c>
      <c r="D543" s="47" t="s">
        <v>107</v>
      </c>
      <c r="E543" s="48" t="s">
        <v>183</v>
      </c>
      <c r="F543" s="48" t="s">
        <v>183</v>
      </c>
      <c r="G543" s="48">
        <v>48</v>
      </c>
      <c r="H543" s="48">
        <v>55</v>
      </c>
      <c r="I543" s="49">
        <v>3672167.59</v>
      </c>
      <c r="J543" s="49">
        <f t="shared" si="14"/>
        <v>76503.49145833333</v>
      </c>
      <c r="K543" s="65">
        <v>1</v>
      </c>
    </row>
    <row r="544" spans="2:11" ht="12" hidden="1" customHeight="1">
      <c r="B544" s="46" t="s">
        <v>1251</v>
      </c>
      <c r="C544" s="47" t="s">
        <v>1252</v>
      </c>
      <c r="D544" s="47" t="s">
        <v>41</v>
      </c>
      <c r="E544" s="48" t="s">
        <v>183</v>
      </c>
      <c r="F544" s="48" t="s">
        <v>183</v>
      </c>
      <c r="G544" s="48">
        <v>23</v>
      </c>
      <c r="H544" s="48">
        <v>23</v>
      </c>
      <c r="I544" s="49">
        <v>1243852.81</v>
      </c>
      <c r="J544" s="49">
        <f t="shared" si="14"/>
        <v>54080.556956521745</v>
      </c>
      <c r="K544" s="65">
        <v>1</v>
      </c>
    </row>
    <row r="545" spans="2:11" ht="12" hidden="1" customHeight="1">
      <c r="B545" s="46" t="s">
        <v>1253</v>
      </c>
      <c r="C545" s="47" t="s">
        <v>1254</v>
      </c>
      <c r="D545" s="47" t="s">
        <v>142</v>
      </c>
      <c r="E545" s="48" t="s">
        <v>183</v>
      </c>
      <c r="F545" s="48" t="s">
        <v>184</v>
      </c>
      <c r="G545" s="48">
        <v>70</v>
      </c>
      <c r="H545" s="48">
        <v>100</v>
      </c>
      <c r="I545" s="49">
        <v>4050304.33</v>
      </c>
      <c r="J545" s="49">
        <f t="shared" ref="J545:J553" si="15">IF(I545&gt;0,I545/G545,"")</f>
        <v>57861.490428571429</v>
      </c>
      <c r="K545" s="65">
        <v>2</v>
      </c>
    </row>
    <row r="546" spans="2:11" ht="12" hidden="1" customHeight="1">
      <c r="B546" s="46" t="s">
        <v>1255</v>
      </c>
      <c r="C546" s="47" t="s">
        <v>1256</v>
      </c>
      <c r="D546" s="47" t="s">
        <v>144</v>
      </c>
      <c r="E546" s="48" t="s">
        <v>183</v>
      </c>
      <c r="F546" s="48" t="s">
        <v>184</v>
      </c>
      <c r="G546" s="48">
        <v>29</v>
      </c>
      <c r="H546" s="48">
        <v>29</v>
      </c>
      <c r="I546" s="49">
        <v>1883217.94</v>
      </c>
      <c r="J546" s="49">
        <f t="shared" si="15"/>
        <v>64938.549655172414</v>
      </c>
      <c r="K546" s="65">
        <v>3</v>
      </c>
    </row>
    <row r="547" spans="2:11" ht="12" hidden="1" customHeight="1">
      <c r="B547" s="46" t="s">
        <v>1257</v>
      </c>
      <c r="C547" s="47" t="s">
        <v>1258</v>
      </c>
      <c r="D547" s="47" t="s">
        <v>144</v>
      </c>
      <c r="E547" s="48" t="s">
        <v>183</v>
      </c>
      <c r="F547" s="48" t="s">
        <v>184</v>
      </c>
      <c r="G547" s="48">
        <v>78</v>
      </c>
      <c r="H547" s="48">
        <v>78</v>
      </c>
      <c r="I547" s="49">
        <v>4259690.1399999997</v>
      </c>
      <c r="J547" s="49">
        <f t="shared" si="15"/>
        <v>54611.412051282045</v>
      </c>
      <c r="K547" s="65">
        <v>4</v>
      </c>
    </row>
    <row r="548" spans="2:11" ht="12" hidden="1" customHeight="1">
      <c r="B548" s="46" t="s">
        <v>1259</v>
      </c>
      <c r="C548" s="47" t="s">
        <v>1260</v>
      </c>
      <c r="D548" s="47" t="s">
        <v>144</v>
      </c>
      <c r="E548" s="48" t="s">
        <v>183</v>
      </c>
      <c r="F548" s="48" t="s">
        <v>184</v>
      </c>
      <c r="G548" s="48">
        <v>76</v>
      </c>
      <c r="H548" s="48">
        <v>76</v>
      </c>
      <c r="I548" s="49">
        <v>13339252.85</v>
      </c>
      <c r="J548" s="49">
        <f t="shared" si="15"/>
        <v>175516.48486842104</v>
      </c>
      <c r="K548" s="65">
        <v>5</v>
      </c>
    </row>
    <row r="549" spans="2:11" ht="12" hidden="1" customHeight="1">
      <c r="B549" s="46" t="s">
        <v>1261</v>
      </c>
      <c r="C549" s="47" t="s">
        <v>1262</v>
      </c>
      <c r="D549" s="47" t="s">
        <v>177</v>
      </c>
      <c r="E549" s="48" t="s">
        <v>185</v>
      </c>
      <c r="F549" s="48" t="s">
        <v>184</v>
      </c>
      <c r="G549" s="48">
        <v>72</v>
      </c>
      <c r="H549" s="48">
        <v>72</v>
      </c>
      <c r="I549" s="49">
        <v>6764259.4299999997</v>
      </c>
      <c r="J549" s="49">
        <f t="shared" si="15"/>
        <v>93948.047638888878</v>
      </c>
      <c r="K549" s="65">
        <v>6</v>
      </c>
    </row>
    <row r="550" spans="2:11" ht="12" hidden="1" customHeight="1">
      <c r="B550" s="46" t="s">
        <v>1263</v>
      </c>
      <c r="C550" s="47" t="s">
        <v>1264</v>
      </c>
      <c r="D550" s="47" t="s">
        <v>105</v>
      </c>
      <c r="E550" s="48" t="s">
        <v>185</v>
      </c>
      <c r="F550" s="48" t="s">
        <v>183</v>
      </c>
      <c r="G550" s="48">
        <v>105</v>
      </c>
      <c r="H550" s="48">
        <v>105</v>
      </c>
      <c r="I550" s="49">
        <v>10870301.27</v>
      </c>
      <c r="J550" s="49">
        <f t="shared" si="15"/>
        <v>103526.67876190475</v>
      </c>
      <c r="K550" s="65">
        <v>7</v>
      </c>
    </row>
    <row r="551" spans="2:11" ht="12" hidden="1" customHeight="1">
      <c r="B551" s="46" t="s">
        <v>1265</v>
      </c>
      <c r="C551" s="47" t="s">
        <v>847</v>
      </c>
      <c r="D551" s="47" t="s">
        <v>115</v>
      </c>
      <c r="E551" s="48" t="s">
        <v>185</v>
      </c>
      <c r="F551" s="48" t="s">
        <v>184</v>
      </c>
      <c r="G551" s="48">
        <v>50</v>
      </c>
      <c r="H551" s="48">
        <v>50</v>
      </c>
      <c r="I551" s="49">
        <v>5352809.21</v>
      </c>
      <c r="J551" s="49">
        <f t="shared" si="15"/>
        <v>107056.1842</v>
      </c>
      <c r="K551" s="65">
        <v>8</v>
      </c>
    </row>
    <row r="552" spans="2:11" ht="12" hidden="1" customHeight="1">
      <c r="B552" s="46" t="s">
        <v>1266</v>
      </c>
      <c r="C552" s="47" t="s">
        <v>1267</v>
      </c>
      <c r="D552" s="47" t="s">
        <v>124</v>
      </c>
      <c r="E552" s="48" t="s">
        <v>185</v>
      </c>
      <c r="F552" s="48" t="s">
        <v>184</v>
      </c>
      <c r="G552" s="48">
        <v>100</v>
      </c>
      <c r="H552" s="48">
        <v>100</v>
      </c>
      <c r="I552" s="49">
        <v>12357130.25</v>
      </c>
      <c r="J552" s="49">
        <f t="shared" si="15"/>
        <v>123571.30250000001</v>
      </c>
      <c r="K552" s="65">
        <v>9</v>
      </c>
    </row>
    <row r="553" spans="2:11" ht="12" hidden="1" customHeight="1">
      <c r="B553" s="46" t="s">
        <v>1268</v>
      </c>
      <c r="C553" s="47" t="s">
        <v>1269</v>
      </c>
      <c r="D553" s="47" t="s">
        <v>138</v>
      </c>
      <c r="E553" s="48" t="s">
        <v>185</v>
      </c>
      <c r="F553" s="48" t="s">
        <v>184</v>
      </c>
      <c r="G553" s="48">
        <v>80</v>
      </c>
      <c r="H553" s="48">
        <v>80</v>
      </c>
      <c r="I553" s="49">
        <v>11218900.130000001</v>
      </c>
      <c r="J553" s="49">
        <f t="shared" si="15"/>
        <v>140236.251625</v>
      </c>
      <c r="K553" s="65">
        <v>10</v>
      </c>
    </row>
  </sheetData>
  <sheetProtection password="CF21" sheet="1" autoFilter="0"/>
  <autoFilter ref="B3:F553" xr:uid="{00000000-0009-0000-0000-000002000000}">
    <filterColumn colId="2">
      <filters>
        <filter val="Greater Dandenong"/>
      </filters>
    </filterColumn>
  </autoFilter>
  <mergeCells count="3">
    <mergeCell ref="B1:J1"/>
    <mergeCell ref="B2:D2"/>
    <mergeCell ref="P3:R3"/>
  </mergeCells>
  <hyperlinks>
    <hyperlink ref="B4" r:id="rId1" tooltip="ABRUZZO CLUB" display="http://www.vcgr.vic.gov.au/CA2570C30016EEF3/wListOfVenues/C5E860A09A787643CA257C690082F940?Open" xr:uid="{00000000-0004-0000-0200-000000000000}"/>
    <hyperlink ref="B5" r:id="rId2" tooltip="ACES SPORTING CLUB" display="http://www.vcgr.vic.gov.au/CA2570C30016EEF3/wListOfVenues/569076CD6FE722E0CA257C690082F8FB?Open" xr:uid="{00000000-0004-0000-0200-000001000000}"/>
    <hyperlink ref="B6" r:id="rId3" tooltip="ALBION CHARLES HOTEL" display="http://www.vcgr.vic.gov.au/CA2570C30016EEF3/wListOfVenues/7505C87952D4CDFFCA257C690082F98F?Open" xr:uid="{00000000-0004-0000-0200-000002000000}"/>
    <hyperlink ref="B7" r:id="rId4" tooltip="ALBION HOTEL" display="http://www.vcgr.vic.gov.au/CA2570C30016EEF3/wListOfVenues/76C9DCADCD5B9AB2CA257C690082F814?Open" xr:uid="{00000000-0004-0000-0200-000003000000}"/>
    <hyperlink ref="B8" r:id="rId5" tooltip="ALEXANDRA HOUSE SPORTS CLUB" display="http://www.vcgr.vic.gov.au/CA2570C30016EEF3/wListOfVenues/C3544A88A0EC1D57CA257C690082F7FB?Open" xr:uid="{00000000-0004-0000-0200-000004000000}"/>
    <hyperlink ref="B9" r:id="rId6" tooltip="ALL SEASONS INTERNATIONAL HOTEL BENDIGO" display="http://www.vcgr.vic.gov.au/CA2570C30016EEF3/wListOfVenues/CCD71FAEE499EE6FCA257C690082F942?Open" xr:uid="{00000000-0004-0000-0200-000005000000}"/>
    <hyperlink ref="B10" r:id="rId7" tooltip="ALMA SPORTS CLUB" display="http://www.vcgr.vic.gov.au/CA2570C30016EEF3/wListOfVenues/D0E41344632FD95CCA257C690082F8C1?Open" xr:uid="{00000000-0004-0000-0200-000006000000}"/>
    <hyperlink ref="B11" r:id="rId8" tooltip="ALTONA BOWLING CLUB" display="http://www.vcgr.vic.gov.au/CA2570C30016EEF3/wListOfVenues/5E917C7AB8305726CA257C690082F93A?Open" xr:uid="{00000000-0004-0000-0200-000007000000}"/>
    <hyperlink ref="B12" r:id="rId9" tooltip="ALTONA RSL" display="http://www.vcgr.vic.gov.au/CA2570C30016EEF3/wListOfVenues/ECFC09C31FF91DE0CA257C690082F878?Open" xr:uid="{00000000-0004-0000-0200-000008000000}"/>
    <hyperlink ref="B13" r:id="rId10" tooltip="ALTONA SPORTS CLUB" display="http://www.vcgr.vic.gov.au/CA2570C30016EEF3/wListOfVenues/AD10CB0E01C54E46CA257C690082F84E?Open" xr:uid="{00000000-0004-0000-0200-000009000000}"/>
    <hyperlink ref="B15" r:id="rId11" tooltip="AMSTEL GOLF CLUB" display="http://www.vcgr.vic.gov.au/CA2570C30016EEF3/wListOfVenues/1341E8DCF89E6980CA257C690082F813?Open" xr:uid="{00000000-0004-0000-0200-00000A000000}"/>
    <hyperlink ref="B16" r:id="rId12" tooltip="ANGEL TAVERN" display="http://www.vcgr.vic.gov.au/CA2570C30016EEF3/wListOfVenues/B4C8D422E3ED1CBDCA257C690082F912?Open" xr:uid="{00000000-0004-0000-0200-00000B000000}"/>
    <hyperlink ref="B17" r:id="rId13" tooltip="ANGLERS TAVERN" display="http://www.vcgr.vic.gov.au/CA2570C30016EEF3/wListOfVenues/647548A73258F35CCA257C690082F84F?Open" xr:uid="{00000000-0004-0000-0200-00000C000000}"/>
    <hyperlink ref="B18" r:id="rId14" tooltip="ANGLESEA GOLF CLUB" display="http://www.vcgr.vic.gov.au/CA2570C30016EEF3/wListOfVenues/EFC26FFDFB80B82ECA257C690082F871?Open" xr:uid="{00000000-0004-0000-0200-00000D000000}"/>
    <hyperlink ref="B19" r:id="rId15" tooltip="ARARAT RSL" display="http://www.vcgr.vic.gov.au/CA2570C30016EEF3/wListOfVenues/F8D50639C11C0489CA257C690082F967?Open" xr:uid="{00000000-0004-0000-0200-00000E000000}"/>
    <hyperlink ref="B20" r:id="rId16" tooltip="ASHLEY HOTEL" display="http://www.vcgr.vic.gov.au/CA2570C30016EEF3/wListOfVenues/1176BC20BA174DE9CA257C690082F8FF?Open" xr:uid="{00000000-0004-0000-0200-00000F000000}"/>
    <hyperlink ref="B21" r:id="rId17" tooltip="ASPENDALE EDITHVALE RSL" display="http://www.vcgr.vic.gov.au/CA2570C30016EEF3/wListOfVenues/A1982AE03F0C4ED8CA257C690082F9B3?Open" xr:uid="{00000000-0004-0000-0200-000010000000}"/>
    <hyperlink ref="B22" r:id="rId18" tooltip="AUSTRAL HOTEL" display="http://www.vcgr.vic.gov.au/CA2570C30016EEF3/wListOfVenues/EDBD278E90ED1E16CA257C690082F948?Open" xr:uid="{00000000-0004-0000-0200-000011000000}"/>
    <hyperlink ref="B23" r:id="rId19" tooltip="AUSTRALIAN CROATIAN ASSOCIATION" display="http://www.vcgr.vic.gov.au/CA2570C30016EEF3/wListOfVenues/B0423CF48B50F0FCCA257C690082F9DC?Open" xr:uid="{00000000-0004-0000-0200-000012000000}"/>
    <hyperlink ref="B24" r:id="rId20" tooltip="AUSTRALIAN CROATIAN NATIONAL HALL" display="http://www.vcgr.vic.gov.au/CA2570C30016EEF3/wListOfVenues/9D13FE924F7FBCA7CA257C690082F8C6?Open" xr:uid="{00000000-0004-0000-0200-000013000000}"/>
    <hyperlink ref="B14" r:id="rId21" tooltip="American Hotel" display="http://www.vcgr.vic.gov.au/CA2570C30016EEF3/wListOfVenues/A73A44485C42F3E3CA257C690082F9E1?Open" xr:uid="{00000000-0004-0000-0200-000014000000}"/>
    <hyperlink ref="B25" r:id="rId22" tooltip="BACCHUS MARSH GOLF CLUB" display="http://www.vcgr.vic.gov.au/CA2570C30016EEF3/wListOfVenues/A8EAF1D75E52F15ECA257C690082F82C?Open" xr:uid="{00000000-0004-0000-0200-000015000000}"/>
    <hyperlink ref="B26" r:id="rId23" tooltip="BAIRNSDALE BOWLS CLUB" display="http://www.vcgr.vic.gov.au/CA2570C30016EEF3/wListOfVenues/74A8F63EBB52E8A8CA257C690082F937?Open" xr:uid="{00000000-0004-0000-0200-000016000000}"/>
    <hyperlink ref="B27" r:id="rId24" tooltip="BAIRNSDALE CLUB" display="http://www.vcgr.vic.gov.au/CA2570C30016EEF3/wListOfVenues/C03EF05087ACDB40CA257C690082F83D?Open" xr:uid="{00000000-0004-0000-0200-000017000000}"/>
    <hyperlink ref="B28" r:id="rId25" tooltip="BAIRNSDALE RSL" display="http://www.vcgr.vic.gov.au/CA2570C30016EEF3/wListOfVenues/5FF38D38CDF99352CA257C690082F854?Open" xr:uid="{00000000-0004-0000-0200-000018000000}"/>
    <hyperlink ref="B30" r:id="rId26" tooltip="BAKERS ARMS HOTEL" display="http://www.vcgr.vic.gov.au/CA2570C30016EEF3/wListOfVenues/040E7959DCB84249CA257C690082F893?Open" xr:uid="{00000000-0004-0000-0200-000019000000}"/>
    <hyperlink ref="B31" r:id="rId27" tooltip="BALACLAVA HOTEL" display="http://www.vcgr.vic.gov.au/CA2570C30016EEF3/wListOfVenues/40153F207843F47BCA257C690082F98D?Open" xr:uid="{00000000-0004-0000-0200-00001A000000}"/>
    <hyperlink ref="B32" r:id="rId28" tooltip="BALLARAT &amp; DISTRICT TROTTING CLUB" display="http://www.vcgr.vic.gov.au/CA2570C30016EEF3/wListOfVenues/77437A19A71900C0CA257C690082F8AB?Open" xr:uid="{00000000-0004-0000-0200-00001B000000}"/>
    <hyperlink ref="B33" r:id="rId29" tooltip="BALLARAT GOLF CLUB" display="http://www.vcgr.vic.gov.au/CA2570C30016EEF3/wListOfVenues/FD81C97B4FEE6883CA257C690082F927?Open" xr:uid="{00000000-0004-0000-0200-00001C000000}"/>
    <hyperlink ref="B34" r:id="rId30" tooltip="BALLARAT LEAGUES CLUB" display="http://www.vcgr.vic.gov.au/CA2570C30016EEF3/wListOfVenues/36233887198B4585CA257C690082F904?Open" xr:uid="{00000000-0004-0000-0200-00001D000000}"/>
    <hyperlink ref="B35" r:id="rId31" tooltip="BALLCOURT HOTEL" display="http://www.vcgr.vic.gov.au/CA2570C30016EEF3/wListOfVenues/E727C3132EBD3EA1CA257C690082FA05?Open" xr:uid="{00000000-0004-0000-0200-00001E000000}"/>
    <hyperlink ref="B36" r:id="rId32" tooltip="BARWON HEADS HOTEL" display="http://www.vcgr.vic.gov.au/CA2570C30016EEF3/wListOfVenues/EDA9D53BD8143CE1CA257C690082F860?Open" xr:uid="{00000000-0004-0000-0200-00001F000000}"/>
    <hyperlink ref="B37" r:id="rId33" tooltip="BATMAN" display="http://www.vcgr.vic.gov.au/CA2570C30016EEF3/wListOfVenues/5BDA820356E99104CA257C690082F8D8?Open" xr:uid="{00000000-0004-0000-0200-000020000000}"/>
    <hyperlink ref="B38" r:id="rId34" tooltip="BAXTER TAVERN HOTEL MOTEL" display="http://www.vcgr.vic.gov.au/CA2570C30016EEF3/wListOfVenues/A1A5070D1D78D704CA257C690082F949?Open" xr:uid="{00000000-0004-0000-0200-000021000000}"/>
    <hyperlink ref="B40" r:id="rId35" tooltip="BAYSWATER HOTEL" display="http://www.vcgr.vic.gov.au/CA2570C30016EEF3/wListOfVenues/4B95134DCBC841E9CA257C690082F8F0?Open" xr:uid="{00000000-0004-0000-0200-000022000000}"/>
    <hyperlink ref="B42" r:id="rId36" tooltip="BEAUMARIS EX-SERVICES CLUB" display="http://www.vcgr.vic.gov.au/CA2570C30016EEF3/wListOfVenues/A59F8BC6D812AB4DCA257C690082F828?Open" xr:uid="{00000000-0004-0000-0200-000023000000}"/>
    <hyperlink ref="B43" r:id="rId37" tooltip="BELL PARK SPORT &amp; RECREATION CLUB" display="http://www.vcgr.vic.gov.au/CA2570C30016EEF3/wListOfVenues/280110C63E153271CA257C690082F841?Open" xr:uid="{00000000-0004-0000-0200-000024000000}"/>
    <hyperlink ref="B44" r:id="rId38" tooltip="BELL" display="http://www.vcgr.vic.gov.au/CA2570C30016EEF3/wListOfVenues/30E8C9079106B5C5CA257C690082F9B7?Open" xr:uid="{00000000-0004-0000-0200-000025000000}"/>
    <hyperlink ref="B45" r:id="rId39" tooltip="BELL" display="http://www.vcgr.vic.gov.au/CA2570C30016EEF3/wListOfVenues/F02B8486500C2428CA257C690082F9E4?Open" xr:uid="{00000000-0004-0000-0200-000026000000}"/>
    <hyperlink ref="B46" r:id="rId40" tooltip="BENALLA BOWLS CLUB" display="http://www.vcgr.vic.gov.au/CA2570C30016EEF3/wListOfVenues/5E3AB2E349D2D201CA257C690082F805?Open" xr:uid="{00000000-0004-0000-0200-000027000000}"/>
    <hyperlink ref="B47" r:id="rId41" tooltip="BENALLA GOLF CLUB" display="http://www.vcgr.vic.gov.au/CA2570C30016EEF3/wListOfVenues/E9B6E3B4176FE167CA257C690082F8B7?Open" xr:uid="{00000000-0004-0000-0200-000028000000}"/>
    <hyperlink ref="B49" r:id="rId42" tooltip="BENDIGO DISTRICT RSL CLUB" display="http://www.vcgr.vic.gov.au/CA2570C30016EEF3/wListOfVenues/A7BD008B6CEEDD58CA257C690082F89B?Open" xr:uid="{00000000-0004-0000-0200-000029000000}"/>
    <hyperlink ref="B50" r:id="rId43" tooltip="BENDIGO STADIUM" display="http://www.vcgr.vic.gov.au/CA2570C30016EEF3/wListOfVenues/06E854408044DC27CA257C690082F869?Open" xr:uid="{00000000-0004-0000-0200-00002A000000}"/>
    <hyperlink ref="B51" r:id="rId44" tooltip="BENTLEIGH CLUB" display="http://www.vcgr.vic.gov.au/CA2570C30016EEF3/wListOfVenues/C0F1135D34106232CA257C690082F9A6?Open" xr:uid="{00000000-0004-0000-0200-00002B000000}"/>
    <hyperlink ref="B52" r:id="rId45" tooltip="BENTLEIGH RSL" display="http://www.vcgr.vic.gov.au/CA2570C30016EEF3/wListOfVenues/036503650A7C9CCBCA257C690082F8E4?Open" xr:uid="{00000000-0004-0000-0200-00002C000000}"/>
    <hyperlink ref="B53" r:id="rId46" tooltip="BERWICK INN TAVERNER" display="http://www.vcgr.vic.gov.au/CA2570C30016EEF3/wListOfVenues/605506AA9AB34F86CA257C690082F9BF?Open" xr:uid="{00000000-0004-0000-0200-00002D000000}"/>
    <hyperlink ref="B54" r:id="rId47" tooltip="BERWICK SPRINGS HOTEL" display="http://www.vcgr.vic.gov.au/CA2570C30016EEF3/wListOfVenues/177C45C9FC765C53CA257C690082F9EB?Open" xr:uid="{00000000-0004-0000-0200-00002E000000}"/>
    <hyperlink ref="B55" r:id="rId48" tooltip="BERWICK SPRINGS HOTEL" display="http://www.vcgr.vic.gov.au/CA2570C30016EEF3/wListOfVenues/F87CEBE6020EE0ABCA257C690082F85B?Open" xr:uid="{00000000-0004-0000-0200-00002F000000}"/>
    <hyperlink ref="B56" r:id="rId49" tooltip="BIRALLEE TAVERN" display="http://www.vcgr.vic.gov.au/CA2570C30016EEF3/wListOfVenues/A89B42BA4F3F432FCA257C690082F947?Open" xr:uid="{00000000-0004-0000-0200-000030000000}"/>
    <hyperlink ref="B57" r:id="rId50" tooltip="BLACKBURN HOTEL" display="http://www.vcgr.vic.gov.au/CA2570C30016EEF3/wListOfVenues/EB5E34C86E24BBA7CA257C690082F968?Open" xr:uid="{00000000-0004-0000-0200-000031000000}"/>
    <hyperlink ref="B58" r:id="rId51" tooltip="BLAZING STUMP HOTEL" display="http://www.vcgr.vic.gov.au/CA2570C30016EEF3/wListOfVenues/FF6CB59D525621FACA257C690082F8CB?Open" xr:uid="{00000000-0004-0000-0200-000032000000}"/>
    <hyperlink ref="B59" r:id="rId52" tooltip="BLUE BELL HOTEL" display="http://www.vcgr.vic.gov.au/CA2570C30016EEF3/wListOfVenues/B2D6C6E06F0B028FCA257C690082F7F5?Open" xr:uid="{00000000-0004-0000-0200-000033000000}"/>
    <hyperlink ref="B61" r:id="rId53" tooltip="BOUNDARY TAVERNER" display="http://www.vcgr.vic.gov.au/CA2570C30016EEF3/wListOfVenues/644931D30FCE929ACA257C690082F9C0?Open" xr:uid="{00000000-0004-0000-0200-000034000000}"/>
    <hyperlink ref="B62" r:id="rId54" tooltip="BOURKE HILL" display="http://www.vcgr.vic.gov.au/CA2570C30016EEF3/wListOfVenues/2C74A57769FA7F1FCA257C690082F7F1?Open" xr:uid="{00000000-0004-0000-0200-000035000000}"/>
    <hyperlink ref="B63" r:id="rId55" tooltip="BOX HILL GOLF CLUB" display="http://www.vcgr.vic.gov.au/CA2570C30016EEF3/wListOfVenues/B7364E3992A4059CCA257C690082F885?Open" xr:uid="{00000000-0004-0000-0200-000036000000}"/>
    <hyperlink ref="B64" r:id="rId56" tooltip="BOX HILL RSL" display="http://www.vcgr.vic.gov.au/CA2570C30016EEF3/wListOfVenues/BA9452973C9A067CCA257C690082F80C?Open" xr:uid="{00000000-0004-0000-0200-000037000000}"/>
    <hyperlink ref="B65" r:id="rId57" tooltip="BRAYBROOK HOTEL" display="http://www.vcgr.vic.gov.au/CA2570C30016EEF3/wListOfVenues/D4544FCB40B4F526CA257C690082F9AD?Open" xr:uid="{00000000-0004-0000-0200-000038000000}"/>
    <hyperlink ref="B67" r:id="rId58" tooltip="BRIDGE INN HOTEL" display="http://www.vcgr.vic.gov.au/CA2570C30016EEF3/wListOfVenues/F56841386A9DDB84CA257C690082F9F3?Open" xr:uid="{00000000-0004-0000-0200-000039000000}"/>
    <hyperlink ref="B68" r:id="rId59" tooltip="BROADMEADOWS SPORTING CLUB" display="http://www.vcgr.vic.gov.au/CA2570C30016EEF3/wListOfVenues/0753BB160414CE90CA257C690082F846?Open" xr:uid="{00000000-0004-0000-0200-00003A000000}"/>
    <hyperlink ref="B70" r:id="rId60" tooltip="BROWNS CORNER" display="http://www.vcgr.vic.gov.au/CA2570C30016EEF3/wListOfVenues/A852402F08EFE7E3CA257C690082F8B4?Open" xr:uid="{00000000-0004-0000-0200-00003B000000}"/>
    <hyperlink ref="B72" r:id="rId61" tooltip="BUNDOORA BOWLING CLUB" display="http://www.vcgr.vic.gov.au/CA2570C30016EEF3/wListOfVenues/4FC6E52E5B90B7EBCA257C690082F8CD?Open" xr:uid="{00000000-0004-0000-0200-00003C000000}"/>
    <hyperlink ref="B73" r:id="rId62" tooltip="BUNDOORA TAVERNER" display="http://www.vcgr.vic.gov.au/CA2570C30016EEF3/wListOfVenues/37C807AC94CB7CD3CA257C690082F9C9?Open" xr:uid="{00000000-0004-0000-0200-00003D000000}"/>
    <hyperlink ref="B74" r:id="rId63" tooltip="BURVALE HOTEL" display="http://www.vcgr.vic.gov.au/CA2570C30016EEF3/wListOfVenues/8362D44324D1E8EECA257C690082F879?Open" xr:uid="{00000000-0004-0000-0200-00003E000000}"/>
    <hyperlink ref="B75" r:id="rId64" tooltip="CARDINIA CLUB" display="http://www.vcgr.vic.gov.au/CA2570C30016EEF3/wListOfVenues/9F38E630BDD45726CA257C690082F915?Open" xr:uid="{00000000-0004-0000-0200-00003F000000}"/>
    <hyperlink ref="B76" r:id="rId65" tooltip="CASA D" display="http://www.vcgr.vic.gov.au/CA2570C30016EEF3/wListOfVenues/5014B9AC3608DD9ACA257C690082F800?Open" xr:uid="{00000000-0004-0000-0200-000040000000}"/>
    <hyperlink ref="B77" r:id="rId66" tooltip="CAULFIELD GLASSHOUSE" display="http://www.vcgr.vic.gov.au/CA2570C30016EEF3/wListOfVenues/5ED48A1136CE2292CA257C690082F896?Open" xr:uid="{00000000-0004-0000-0200-000041000000}"/>
    <hyperlink ref="B78" r:id="rId67" tooltip="CAULFIELD RSL" display="http://www.vcgr.vic.gov.au/CA2570C30016EEF3/wListOfVenues/B1F350173DDFC4EBCA257C690082F8AF?Open" xr:uid="{00000000-0004-0000-0200-000042000000}"/>
    <hyperlink ref="B79" r:id="rId68" tooltip="CELTIC CLUB" display="http://www.vcgr.vic.gov.au/CA2570C30016EEF3/wListOfVenues/AC121AA58A4450A7CA257C690082F849?Open" xr:uid="{00000000-0004-0000-0200-000043000000}"/>
    <hyperlink ref="B80" r:id="rId69" tooltip="CENTURY CITY WALK" display="http://www.vcgr.vic.gov.au/CA2570C30016EEF3/wListOfVenues/2BCD50802675F6BACA257C690082F94C?Open" xr:uid="{00000000-0004-0000-0200-000044000000}"/>
    <hyperlink ref="B81" r:id="rId70" tooltip="CHALAMBAR GOLF CLUB" display="http://www.vcgr.vic.gov.au/CA2570C30016EEF3/wListOfVenues/E82F7637E991FE82CA257C690082F7F3?Open" xr:uid="{00000000-0004-0000-0200-000045000000}"/>
    <hyperlink ref="B83" r:id="rId71" tooltip="CHELSEA HEIGHTS HOTEL" display="http://www.vcgr.vic.gov.au/CA2570C30016EEF3/wListOfVenues/6FA3DBF4E8FAC896CA257C690082F994?Open" xr:uid="{00000000-0004-0000-0200-000046000000}"/>
    <hyperlink ref="B84" r:id="rId72" tooltip="CHELTENHAM MOORABBIN RSL" display="http://www.vcgr.vic.gov.au/CA2570C30016EEF3/wListOfVenues/A3EF6855D1A9996ECA257C690082F866?Open" xr:uid="{00000000-0004-0000-0200-000047000000}"/>
    <hyperlink ref="B85" r:id="rId73" tooltip="CHERRY HILL TAVERN" display="http://www.vcgr.vic.gov.au/CA2570C30016EEF3/wListOfVenues/B46C3E4EF95D2E95CA257C690082F993?Open" xr:uid="{00000000-0004-0000-0200-000048000000}"/>
    <hyperlink ref="B86" r:id="rId74" tooltip="CHIRNSIDE PARK COUNTRY CLUB" display="http://www.vcgr.vic.gov.au/CA2570C30016EEF3/wListOfVenues/A673CD9FF4204F3DCA257C690082F883?Open" xr:uid="{00000000-0004-0000-0200-000049000000}"/>
    <hyperlink ref="B87" r:id="rId75" tooltip="CITY BOWLS CLUB COLAC" display="http://www.vcgr.vic.gov.au/CA2570C30016EEF3/wListOfVenues/B62BEAA9BDFFD203CA257C690082F939?Open" xr:uid="{00000000-0004-0000-0200-00004A000000}"/>
    <hyperlink ref="B88" r:id="rId76" tooltip="CITY FAMILY HOTEL" display="http://www.vcgr.vic.gov.au/CA2570C30016EEF3/wListOfVenues/3B8F4C6A8D768A4CCA257C690082F9BC?Open" xr:uid="{00000000-0004-0000-0200-00004B000000}"/>
    <hyperlink ref="B89" r:id="rId77" tooltip="CITY MEMORIAL BOWLS CLUB" display="http://www.vcgr.vic.gov.au/CA2570C30016EEF3/wListOfVenues/AECBBA24C5CBE1B4CA257C690082F892?Open" xr:uid="{00000000-0004-0000-0200-00004C000000}"/>
    <hyperlink ref="B90" r:id="rId78" tooltip="CLAYTON BOWLS CLUB" display="http://www.vcgr.vic.gov.au/CA2570C30016EEF3/wListOfVenues/18D7720191A0EE6ECA257C690082F97C?Open" xr:uid="{00000000-0004-0000-0200-00004D000000}"/>
    <hyperlink ref="B91" r:id="rId79" tooltip="CLAYTON RSL" display="http://www.vcgr.vic.gov.au/CA2570C30016EEF3/wListOfVenues/5953599DF2EEEE93CA257C690082F823?Open" xr:uid="{00000000-0004-0000-0200-00004E000000}"/>
    <hyperlink ref="B92" r:id="rId80" tooltip="CLIFTON SPRINGS GOLF CLUB" display="http://www.vcgr.vic.gov.au/CA2570C30016EEF3/wListOfVenues/16EB074102F5E1A5CA257C690082F911?Open" xr:uid="{00000000-0004-0000-0200-00004F000000}"/>
    <hyperlink ref="B93" r:id="rId81" tooltip="CLOCKS AT FLINDERS STREET STATION" display="http://www.vcgr.vic.gov.au/CA2570C30016EEF3/wListOfVenues/C4EE0FEB5DDA8B78CA257C690082F94A?Open" xr:uid="{00000000-0004-0000-0200-000050000000}"/>
    <hyperlink ref="B95" r:id="rId82" tooltip="CLUB HAWTHORN" display="http://www.vcgr.vic.gov.au/CA2570C30016EEF3/wListOfVenues/F6B502BBA6D5E98CCA257C690082F824?Open" xr:uid="{00000000-0004-0000-0200-000051000000}"/>
    <hyperlink ref="B96" r:id="rId83" tooltip="CLUB HOTEL" display="http://www.vcgr.vic.gov.au/CA2570C30016EEF3/wListOfVenues/2B10EBF58BB26277CA257C690082F990?Open" xr:uid="{00000000-0004-0000-0200-000052000000}"/>
    <hyperlink ref="B97" r:id="rId84" tooltip="CLUB HOTEL (FERNTREE GULLY)" display="http://www.vcgr.vic.gov.au/CA2570C30016EEF3/wListOfVenues/F6A1CC9E168C19B8CA257C690082F830?Open" xr:uid="{00000000-0004-0000-0200-000053000000}"/>
    <hyperlink ref="B98" r:id="rId85" tooltip="CLUB HOTEL (WARRAGUL)" display="http://www.vcgr.vic.gov.au/CA2570C30016EEF3/wListOfVenues/490955F22D168DAFCA257C690082F8A4?Open" xr:uid="{00000000-0004-0000-0200-000054000000}"/>
    <hyperlink ref="B99" r:id="rId86" tooltip="CLUB ITALIA SPORTING CLUB" display="http://www.vcgr.vic.gov.au/CA2570C30016EEF3/wListOfVenues/7FFF7EFAE3C5AA13CA257C690082F8AC?Open" xr:uid="{00000000-0004-0000-0200-000055000000}"/>
    <hyperlink ref="B100" r:id="rId87" tooltip="CLUB KILSYTH" display="http://www.vcgr.vic.gov.au/CA2570C30016EEF3/wListOfVenues/E603874F836D3D9ACA257C690082F9A9?Open" xr:uid="{00000000-0004-0000-0200-000056000000}"/>
    <hyperlink ref="B101" r:id="rId88" tooltip="CLUB LAVERTON" display="http://www.vcgr.vic.gov.au/CA2570C30016EEF3/wListOfVenues/6DDBCCE75AE1D06ECA257C690082F94D?Open" xr:uid="{00000000-0004-0000-0200-000057000000}"/>
    <hyperlink ref="B102" r:id="rId89" tooltip="CLUB LEEDS" display="http://www.vcgr.vic.gov.au/CA2570C30016EEF3/wListOfVenues/B66900A8DB2C16A6CA257C690082F8EA?Open" xr:uid="{00000000-0004-0000-0200-000058000000}"/>
    <hyperlink ref="B103" r:id="rId90" tooltip="CLUB RINGWOOD" display="http://www.vcgr.vic.gov.au/CA2570C30016EEF3/wListOfVenues/CB52689CB1F3703DCA257C690082F976?Open" xr:uid="{00000000-0004-0000-0200-000059000000}"/>
    <hyperlink ref="B104" r:id="rId91" tooltip="CLUB TIVOLI" display="http://www.vcgr.vic.gov.au/CA2570C30016EEF3/wListOfVenues/6E2EE5A7F10C3B84CA257C690082F8A3?Open" xr:uid="{00000000-0004-0000-0200-00005A000000}"/>
    <hyperlink ref="B105" r:id="rId92" tooltip="CLUB WARRANDYTE" display="http://www.vcgr.vic.gov.au/CA2570C30016EEF3/wListOfVenues/D0A49D433DCCF4CACA257C690082F91E?Open" xr:uid="{00000000-0004-0000-0200-00005B000000}"/>
    <hyperlink ref="B107" r:id="rId93" tooltip="COBDEN GOLF CLUB" display="http://www.vcgr.vic.gov.au/CA2570C30016EEF3/wListOfVenues/7FCA9058F5B55EEFCA257C690082F963?Open" xr:uid="{00000000-0004-0000-0200-00005C000000}"/>
    <hyperlink ref="B108" r:id="rId94" tooltip="COBRAM HOTEL" display="http://www.vcgr.vic.gov.au/CA2570C30016EEF3/wListOfVenues/5563857C0BFD2614CA257C690082F9B8?Open" xr:uid="{00000000-0004-0000-0200-00005D000000}"/>
    <hyperlink ref="B109" r:id="rId95" tooltip="COLAC BOWLING CLUB" display="http://www.vcgr.vic.gov.au/CA2570C30016EEF3/wListOfVenues/426A5C8C5D57069FCA257C690082F8D2?Open" xr:uid="{00000000-0004-0000-0200-00005E000000}"/>
    <hyperlink ref="B110" r:id="rId96" tooltip="COLAC RSL" display="http://www.vcgr.vic.gov.au/CA2570C30016EEF3/wListOfVenues/87E06660D9B7348DCA257C690082F867?Open" xr:uid="{00000000-0004-0000-0200-00005F000000}"/>
    <hyperlink ref="B111" r:id="rId97" tooltip="COMMERCIAL HOTEL (CAMPERDOWN)" display="http://www.vcgr.vic.gov.au/CA2570C30016EEF3/wListOfVenues/B1E057DA57F2083DCA257C690082F8AD?Open" xr:uid="{00000000-0004-0000-0200-000060000000}"/>
    <hyperlink ref="B112" r:id="rId98" tooltip="COMMERCIAL HOTEL (SWAN HILL)" display="http://www.vcgr.vic.gov.au/CA2570C30016EEF3/wListOfVenues/98126EA7CAD0FB6ACA257C690082F9F1?Open" xr:uid="{00000000-0004-0000-0200-000061000000}"/>
    <hyperlink ref="B113" r:id="rId99" tooltip="COMMERCIAL TAVERNER" display="http://www.vcgr.vic.gov.au/CA2570C30016EEF3/wListOfVenues/0E4948209D62BFCECA257C690082F9CC?Open" xr:uid="{00000000-0004-0000-0200-000062000000}"/>
    <hyperlink ref="B115" r:id="rId100" tooltip="COOLAROO TAVERNER" display="http://www.vcgr.vic.gov.au/CA2570C30016EEF3/wListOfVenues/EB8FC2AA05360555CA257C690082F9C2?Open" xr:uid="{00000000-0004-0000-0200-000063000000}"/>
    <hyperlink ref="B116" r:id="rId101" tooltip="CORRYONG SPORTING COMPLEX" display="http://www.vcgr.vic.gov.au/CA2570C30016EEF3/wListOfVenues/B54720A10159A3D7CA257C690082F920?Open" xr:uid="{00000000-0004-0000-0200-000064000000}"/>
    <hyperlink ref="B117" r:id="rId102" tooltip="COURT HOUSE HOTEL (BACCHUS MARSH)" display="http://www.vcgr.vic.gov.au/CA2570C30016EEF3/wListOfVenues/57EFF7D4769C5F28CA257C690082F9D6?Open" xr:uid="{00000000-0004-0000-0200-000065000000}"/>
    <hyperlink ref="B118" r:id="rId103" tooltip="COURT HOUSE HOTEL (BRUNSWICK)" display="http://www.vcgr.vic.gov.au/CA2570C30016EEF3/wListOfVenues/C98E86048A548F97CA257C690082F9A8?Open" xr:uid="{00000000-0004-0000-0200-000066000000}"/>
    <hyperlink ref="B119" r:id="rId104" tooltip="COURT HOUSE HOTEL (FOOTSCRAY)" display="http://www.vcgr.vic.gov.au/CA2570C30016EEF3/wListOfVenues/10F3A57C9C6AD971CA257C690082F992?Open" xr:uid="{00000000-0004-0000-0200-000067000000}"/>
    <hyperlink ref="B120" r:id="rId105" tooltip="COURT JESTER HOTEL" display="http://www.vcgr.vic.gov.au/CA2570C30016EEF3/wListOfVenues/CB21388BEB9A0A17CA257C690082F8F6?Open" xr:uid="{00000000-0004-0000-0200-000068000000}"/>
    <hyperlink ref="B123" r:id="rId106" tooltip="CRAIG" display="http://www.vcgr.vic.gov.au/CA2570C30016EEF3/wListOfVenues/239FBF90A22A2FB3CA257C690082F86A?Open" xr:uid="{00000000-0004-0000-0200-000069000000}"/>
    <hyperlink ref="B122" r:id="rId107" tooltip="CRAIGIEBURN SPORTING CLUB" display="http://www.vcgr.vic.gov.au/CA2570C30016EEF3/wListOfVenues/FC359B178D53AEF5CA257C690082F7EF?Open" xr:uid="{00000000-0004-0000-0200-00006A000000}"/>
    <hyperlink ref="B124" r:id="rId108" tooltip="CRAMERS HOTEL" display="http://www.vcgr.vic.gov.au/CA2570C30016EEF3/wListOfVenues/D21AF0DD0DB0BF2CCA257C690082F7F0?Open" xr:uid="{00000000-0004-0000-0200-00006B000000}"/>
    <hyperlink ref="B125" r:id="rId109" tooltip="CRANBOURNE RSL" display="http://www.vcgr.vic.gov.au/CA2570C30016EEF3/wListOfVenues/2EBE521E0A7CADD6CA257C690082F887?Open" xr:uid="{00000000-0004-0000-0200-00006C000000}"/>
    <hyperlink ref="B126" r:id="rId110" tooltip="CROSS KEYS HOTEL" display="http://www.vcgr.vic.gov.au/CA2570C30016EEF3/wListOfVenues/410775F59086019FCA257C690082F9AE?Open" xr:uid="{00000000-0004-0000-0200-00006D000000}"/>
    <hyperlink ref="B127" r:id="rId111" tooltip="CROWN HOTEL" display="http://www.vcgr.vic.gov.au/CA2570C30016EEF3/wListOfVenues/68D0DAAA372FA454CA257C690082F9D8?Open" xr:uid="{00000000-0004-0000-0200-00006E000000}"/>
    <hyperlink ref="B128" r:id="rId112" tooltip="CROXTON PARK HOTEL" display="http://www.vcgr.vic.gov.au/CA2570C30016EEF3/wListOfVenues/B72E948856F1E115CA257C690082F991?Open" xr:uid="{00000000-0004-0000-0200-00006F000000}"/>
    <hyperlink ref="B129" r:id="rId113" tooltip="CROYDON HOTEL" display="http://www.vcgr.vic.gov.au/CA2570C30016EEF3/wListOfVenues/614B44C87C60B708CA257C690082F9F8?Open" xr:uid="{00000000-0004-0000-0200-000070000000}"/>
    <hyperlink ref="B130" r:id="rId114" tooltip="CUMBERLAND HOTEL" display="http://www.vcgr.vic.gov.au/CA2570C30016EEF3/wListOfVenues/AD44D813FC49509ECA257C690082F829?Open" xr:uid="{00000000-0004-0000-0200-000071000000}"/>
    <hyperlink ref="B131" r:id="rId115" tooltip="DANDENONG CLUB" display="http://www.vcgr.vic.gov.au/CA2570C30016EEF3/wListOfVenues/29271C001F2FD865CA257C690082F889?Open" xr:uid="{00000000-0004-0000-0200-000072000000}"/>
    <hyperlink ref="B132" r:id="rId116" tooltip="DANDENONG RSL" display="http://www.vcgr.vic.gov.au/CA2570C30016EEF3/wListOfVenues/FF3E0F70384C778DCA257C690082F9B2?Open" xr:uid="{00000000-0004-0000-0200-000073000000}"/>
    <hyperlink ref="B133" r:id="rId117" tooltip="DANDENONG WORKERS SOCIAL CLUB" display="http://www.vcgr.vic.gov.au/CA2570C30016EEF3/wListOfVenues/E037E16291C7DCDACA257C690082F872?Open" xr:uid="{00000000-0004-0000-0200-000074000000}"/>
    <hyperlink ref="B134" r:id="rId118" tooltip="DAREBIN RSL" display="http://www.vcgr.vic.gov.au/CA2570C30016EEF3/wListOfVenues/D2C36F88527B1CCECA257C690082F932?Open" xr:uid="{00000000-0004-0000-0200-000075000000}"/>
    <hyperlink ref="B135" r:id="rId119" tooltip="DAVA HOTEL" display="http://www.vcgr.vic.gov.au/CA2570C30016EEF3/wListOfVenues/FE871F2217A99E83CA257C690082F95D?Open" xr:uid="{00000000-0004-0000-0200-000076000000}"/>
    <hyperlink ref="B136" r:id="rId120" tooltip="DAYLESFORD BOWLING CLUB" display="http://www.vcgr.vic.gov.au/CA2570C30016EEF3/wListOfVenues/0557569293FBA0C1CA257C690082F880?Open" xr:uid="{00000000-0004-0000-0200-000077000000}"/>
    <hyperlink ref="B137" r:id="rId121" tooltip="DEER PARK CLUB" display="http://www.vcgr.vic.gov.au/CA2570C30016EEF3/wListOfVenues/0163EE896AB48014CA257C690082F971?Open" xr:uid="{00000000-0004-0000-0200-000078000000}"/>
    <hyperlink ref="B138" r:id="rId122" tooltip="DEER PARK HOTEL" display="http://www.vcgr.vic.gov.au/CA2570C30016EEF3/wListOfVenues/74DC0164AB8CEE18CA257C690082F83E?Open" xr:uid="{00000000-0004-0000-0200-000079000000}"/>
    <hyperlink ref="B139" r:id="rId123" tooltip="DERRIMUT HOTEL" display="http://www.vcgr.vic.gov.au/CA2570C30016EEF3/wListOfVenues/91726E723A96025DCA257C690082F92C?Open" xr:uid="{00000000-0004-0000-0200-00007A000000}"/>
    <hyperlink ref="B140" r:id="rId124" tooltip="DIAMOND CREEK TAVERN" display="http://www.vcgr.vic.gov.au/CA2570C30016EEF3/wListOfVenues/A48C43164C803217CA257C690082F9B6?Open" xr:uid="{00000000-0004-0000-0200-00007B000000}"/>
    <hyperlink ref="B141" r:id="rId125" tooltip="DICK WHITTINGTON TAVERN" display="http://www.vcgr.vic.gov.au/CA2570C30016EEF3/wListOfVenues/3053C02182D087DCCA257C690082F921?Open" xr:uid="{00000000-0004-0000-0200-00007C000000}"/>
    <hyperlink ref="B142" r:id="rId126" tooltip="DINGLEY INTERNATIONAL HOTEL" display="http://www.vcgr.vic.gov.au/CA2570C30016EEF3/wListOfVenues/7A946810C0C8CA1CCA257C690082F7FA?Open" xr:uid="{00000000-0004-0000-0200-00007D000000}"/>
    <hyperlink ref="B143" r:id="rId127" tooltip="DONCASTER HOTEL" display="http://www.vcgr.vic.gov.au/CA2570C30016EEF3/wListOfVenues/724611730B1A577DCA257C690082F922?Open" xr:uid="{00000000-0004-0000-0200-00007E000000}"/>
    <hyperlink ref="B144" r:id="rId128" tooltip="DORSET GARDENS HOTEL" display="http://www.vcgr.vic.gov.au/CA2570C30016EEF3/wListOfVenues/DC812BDE7ACDA5B0CA257C690082F88C?Open" xr:uid="{00000000-0004-0000-0200-00007F000000}"/>
    <hyperlink ref="B145" r:id="rId129" tooltip="DROMANA HOTEL" display="http://www.vcgr.vic.gov.au/CA2570C30016EEF3/wListOfVenues/CC8D644F8F101FCCCA257C690082F7F8?Open" xr:uid="{00000000-0004-0000-0200-000080000000}"/>
    <hyperlink ref="B146" r:id="rId130" tooltip="DRUMS HOTEL" display="http://www.vcgr.vic.gov.au/CA2570C30016EEF3/wListOfVenues/598F580F29934A42CA257C690082F7F2?Open" xr:uid="{00000000-0004-0000-0200-000081000000}"/>
    <hyperlink ref="B147" r:id="rId131" tooltip="DUKE OF EDINBURGH" display="http://www.vcgr.vic.gov.au/CA2570C30016EEF3/wListOfVenues/51C7181ABEE9A459CA257C690082F9D2?Open" xr:uid="{00000000-0004-0000-0200-000082000000}"/>
    <hyperlink ref="B148" r:id="rId132" tooltip="EAST MALVERN RSL" display="http://www.vcgr.vic.gov.au/CA2570C30016EEF3/wListOfVenues/CB795FE482D0FE31CA257C690082F8DF?Open" xr:uid="{00000000-0004-0000-0200-000083000000}"/>
    <hyperlink ref="B149" r:id="rId133" tooltip="EASTWOOD GOLF CLUB" display="http://www.vcgr.vic.gov.au/CA2570C30016EEF3/wListOfVenues/6BED5BA905422675CA257C690082F85D?Open" xr:uid="{00000000-0004-0000-0200-000084000000}"/>
    <hyperlink ref="B150" r:id="rId134" tooltip="ECHUCA HOTEL" display="http://www.vcgr.vic.gov.au/CA2570C30016EEF3/wListOfVenues/FF60CDFA1F755D50CA257C690082F8D3?Open" xr:uid="{00000000-0004-0000-0200-000085000000}"/>
    <hyperlink ref="B151" r:id="rId135" tooltip="ECHUCA WORKERS AND SERVICES CLUB" display="http://www.vcgr.vic.gov.au/CA2570C30016EEF3/wListOfVenues/66F1DEC9C3F1EE69CA257C690082F803?Open" xr:uid="{00000000-0004-0000-0200-000086000000}"/>
    <hyperlink ref="B152" r:id="rId136" tooltip="EDITHVALE - CHELSEA RSL" display="http://www.vcgr.vic.gov.au/CA2570C30016EEF3/wListOfVenues/947FF72915DF70BECA257C690082F825?Open" xr:uid="{00000000-0004-0000-0200-000087000000}"/>
    <hyperlink ref="B153" r:id="rId137" tooltip="EDWARDES LAKE HOTEL" display="http://www.vcgr.vic.gov.au/CA2570C30016EEF3/wListOfVenues/BA9D8DC7C91F71BDCA257C690082F8E9?Open" xr:uid="{00000000-0004-0000-0200-000088000000}"/>
    <hyperlink ref="B154" r:id="rId138" tooltip="ELGIN" display="http://www.vcgr.vic.gov.au/CA2570C30016EEF3/wListOfVenues/D0A6F97B66DC9C69CA257C690082F7EA?Open" xr:uid="{00000000-0004-0000-0200-000089000000}"/>
    <hyperlink ref="B156" r:id="rId139" tooltip="ELSTERNWICK HOTEL" display="http://www.vcgr.vic.gov.au/CA2570C30016EEF3/wListOfVenues/CF62D4E07F656C51CA257C690082F8DA?Open" xr:uid="{00000000-0004-0000-0200-00008A000000}"/>
    <hyperlink ref="B157" r:id="rId140" tooltip="ELTHAM HOTEL" display="http://www.vcgr.vic.gov.au/CA2570C30016EEF3/wListOfVenues/33CB9677DC19A262CA257C690082F8E7?Open" xr:uid="{00000000-0004-0000-0200-00008B000000}"/>
    <hyperlink ref="B158" r:id="rId141" tooltip="ELTHAM RSL" display="http://www.vcgr.vic.gov.au/CA2570C30016EEF3/wListOfVenues/CB71262354FBCFC0CA257C690082F9DD?Open" xr:uid="{00000000-0004-0000-0200-00008C000000}"/>
    <hyperlink ref="B159" r:id="rId142" tooltip="ELWOOD RSL" display="http://www.vcgr.vic.gov.au/CA2570C30016EEF3/wListOfVenues/814BB7B16652BAB2CA257C690082FA00?Open" xr:uid="{00000000-0004-0000-0200-00008D000000}"/>
    <hyperlink ref="B160" r:id="rId143" tooltip="EPPING HOTEL" display="http://www.vcgr.vic.gov.au/CA2570C30016EEF3/wListOfVenues/944CDADF3113A7C1CA257C690082F974?Open" xr:uid="{00000000-0004-0000-0200-00008E000000}"/>
    <hyperlink ref="B161" r:id="rId144" tooltip="EPPING PLAZA HOTEL" display="http://www.vcgr.vic.gov.au/CA2570C30016EEF3/wListOfVenues/5A477AA23212FB93CA257C690082F8D6?Open" xr:uid="{00000000-0004-0000-0200-00008F000000}"/>
    <hyperlink ref="B162" r:id="rId145" tooltip="EPPING RSL" display="http://www.vcgr.vic.gov.au/CA2570C30016EEF3/wListOfVenues/52F77EB23684138DCA257C690082F8F9?Open" xr:uid="{00000000-0004-0000-0200-000090000000}"/>
    <hyperlink ref="B163" r:id="rId146" tooltip="ESPLANADE HOTEL (INVERLOCH)" display="http://www.vcgr.vic.gov.au/CA2570C30016EEF3/wListOfVenues/96A63387CFE16EC1CA257C690082FA01?Open" xr:uid="{00000000-0004-0000-0200-000091000000}"/>
    <hyperlink ref="B164" r:id="rId147" tooltip="ESPLANADE HOTEL (QUEENSCLIFF)" display="http://www.vcgr.vic.gov.au/CA2570C30016EEF3/wListOfVenues/7D6C3F06A06D6579CA257C690082F979?Open" xr:uid="{00000000-0004-0000-0200-000092000000}"/>
    <hyperlink ref="B166" r:id="rId148" tooltip="EXCELSIOR HOTEL" display="http://www.vcgr.vic.gov.au/CA2570C30016EEF3/wListOfVenues/37E693F80A0FD896CA257C690082F995?Open" xr:uid="{00000000-0004-0000-0200-000093000000}"/>
    <hyperlink ref="B167" r:id="rId149" tooltip="FAIRFIELD &amp; ALPHINGTON RSL" display="http://www.vcgr.vic.gov.au/CA2570C30016EEF3/wListOfVenues/EC7F9967EBAFFDB9CA257C690082F9B4?Open" xr:uid="{00000000-0004-0000-0200-000094000000}"/>
    <hyperlink ref="B168" r:id="rId150" tooltip="FAMILY HOTEL" display="http://www.vcgr.vic.gov.au/CA2570C30016EEF3/wListOfVenues/2CBD0C95E106DEFACA257C690082F969?Open" xr:uid="{00000000-0004-0000-0200-000095000000}"/>
    <hyperlink ref="B169" r:id="rId151" tooltip="FAWKNER RSL" display="http://www.vcgr.vic.gov.au/CA2570C30016EEF3/wListOfVenues/FFE870D58EB1D37ECA257C690082F943?Open" xr:uid="{00000000-0004-0000-0200-000096000000}"/>
    <hyperlink ref="B170" r:id="rId152" tooltip="FERNTREE GULLY BOWLING CLUB" display="http://www.vcgr.vic.gov.au/CA2570C30016EEF3/wListOfVenues/9F23777333ED50D2CA257C690082F8DD?Open" xr:uid="{00000000-0004-0000-0200-000097000000}"/>
    <hyperlink ref="B171" r:id="rId153" tooltip="FERNTREE GULLY HOTEL" display="http://www.vcgr.vic.gov.au/CA2570C30016EEF3/wListOfVenues/5E3B515D75B4F633CA257C690082F919?Open" xr:uid="{00000000-0004-0000-0200-000098000000}"/>
    <hyperlink ref="B172" r:id="rId154" tooltip="FIRST &amp; LAST HOTEL" display="http://www.vcgr.vic.gov.au/CA2570C30016EEF3/wListOfVenues/4765C7DDA758B913CA257C690082F996?Open" xr:uid="{00000000-0004-0000-0200-000099000000}"/>
    <hyperlink ref="B173" r:id="rId155" tooltip="FLEMINGTON RACECOURSE TABARET" display="http://www.vcgr.vic.gov.au/CA2570C30016EEF3/wListOfVenues/F584740981A8026ACA257C690082F8A2?Open" xr:uid="{00000000-0004-0000-0200-00009A000000}"/>
    <hyperlink ref="B175" r:id="rId156" tooltip="FORESTERS ARMS HOTEL" display="http://www.vcgr.vic.gov.au/CA2570C30016EEF3/wListOfVenues/2BC42C6C23E1BF46CA257C690082F909?Open" xr:uid="{00000000-0004-0000-0200-00009B000000}"/>
    <hyperlink ref="B176" r:id="rId157" tooltip="FOSTER GOLF CLUB" display="http://www.vcgr.vic.gov.au/CA2570C30016EEF3/wListOfVenues/AD006374B3EBA0ECCA257C690082F86B?Open" xr:uid="{00000000-0004-0000-0200-00009C000000}"/>
    <hyperlink ref="B178" r:id="rId158" tooltip="FOUNTAIN GATE TAVERNER" display="http://www.vcgr.vic.gov.au/CA2570C30016EEF3/wListOfVenues/0210E7EB10B5BD29CA257C690082F9CF?Open" xr:uid="{00000000-0004-0000-0200-00009D000000}"/>
    <hyperlink ref="B179" r:id="rId159" tooltip="FRANKSTON FOOTBALL CLUB" display="http://www.vcgr.vic.gov.au/CA2570C30016EEF3/wListOfVenues/7668ECA649010A7FCA257C690082F8B9?Open" xr:uid="{00000000-0004-0000-0200-00009E000000}"/>
    <hyperlink ref="B180" r:id="rId160" tooltip="FRANKSTON RSL" display="http://www.vcgr.vic.gov.au/CA2570C30016EEF3/wListOfVenues/263DC5781317047ECA257C690082F81D?Open" xr:uid="{00000000-0004-0000-0200-00009F000000}"/>
    <hyperlink ref="B181" r:id="rId161" tooltip="FRECCIA AZZURRA CLUB" display="http://www.vcgr.vic.gov.au/CA2570C30016EEF3/wListOfVenues/9FFCB115B0982E2DCA257C690082F8DE?Open" xr:uid="{00000000-0004-0000-0200-0000A0000000}"/>
    <hyperlink ref="B182" r:id="rId162" tooltip="FURLAN CLUB" display="http://www.vcgr.vic.gov.au/CA2570C30016EEF3/wListOfVenues/05EFC376072974DECA257C690082F88F?Open" xr:uid="{00000000-0004-0000-0200-0000A1000000}"/>
    <hyperlink ref="B174" r:id="rId163" tooltip="Flying Horse Bar and Brewery" display="http://www.vcgr.vic.gov.au/CA2570C30016EEF3/wListOfVenues/B48FAA41C5FF94A0CA257C690082F9E7?Open" xr:uid="{00000000-0004-0000-0200-0000A2000000}"/>
    <hyperlink ref="B183" r:id="rId164" tooltip="GATEWAY HOTEL" display="http://www.vcgr.vic.gov.au/CA2570C30016EEF3/wListOfVenues/5B5F9429A9C7C587CA257C690082F92E?Open" xr:uid="{00000000-0004-0000-0200-0000A3000000}"/>
    <hyperlink ref="B184" r:id="rId165" tooltip="GEELONG COMBINED LEAGUES CLUB" display="http://www.vcgr.vic.gov.au/CA2570C30016EEF3/wListOfVenues/6FD44E3ACCFAF9BCCA257C690082F83C?Open" xr:uid="{00000000-0004-0000-0200-0000A4000000}"/>
    <hyperlink ref="B185" r:id="rId166" tooltip="GEELONG FOOTBALL CLUB" display="http://www.vcgr.vic.gov.au/CA2570C30016EEF3/wListOfVenues/C32065975B191168CA257C690082F839?Open" xr:uid="{00000000-0004-0000-0200-0000A5000000}"/>
    <hyperlink ref="B186" r:id="rId167" tooltip="GEELONG RSL" display="http://www.vcgr.vic.gov.au/CA2570C30016EEF3/wListOfVenues/209619C9E788B01ECA257C690082F853?Open" xr:uid="{00000000-0004-0000-0200-0000A6000000}"/>
    <hyperlink ref="B187" r:id="rId168" tooltip="GEORGE HOTEL" display="http://www.vcgr.vic.gov.au/CA2570C30016EEF3/wListOfVenues/CDC615CE6D39B063CA257C690082F87F?Open" xr:uid="{00000000-0004-0000-0200-0000A7000000}"/>
    <hyperlink ref="B188" r:id="rId169" tooltip="GLADSTONE PARK HOTEL" display="http://www.vcgr.vic.gov.au/CA2570C30016EEF3/wListOfVenues/F0D6B26B97920E86CA257C690082F88E?Open" xr:uid="{00000000-0004-0000-0200-0000A8000000}"/>
    <hyperlink ref="B189" r:id="rId170" tooltip="GLENGALA HOTEL" display="http://www.vcgr.vic.gov.au/CA2570C30016EEF3/wListOfVenues/9AE6559A4ED0B9AACA257C690082F998?Open" xr:uid="{00000000-0004-0000-0200-0000A9000000}"/>
    <hyperlink ref="B190" r:id="rId171" tooltip="GLENROY RSL" display="http://www.vcgr.vic.gov.au/CA2570C30016EEF3/wListOfVenues/C427453415BFBBFECA257C690082F946?Open" xr:uid="{00000000-0004-0000-0200-0000AA000000}"/>
    <hyperlink ref="B191" r:id="rId172" tooltip="GOLDEN FLEECE HOTEL (MELTON)" display="http://www.vcgr.vic.gov.au/CA2570C30016EEF3/wListOfVenues/A37ED2DE0AEBF3F0CA257C690082F9DA?Open" xr:uid="{00000000-0004-0000-0200-0000AB000000}"/>
    <hyperlink ref="B192" r:id="rId173" tooltip="GOLDEN FLEECE HOTEL (SOUTH MELBOURNE)" display="http://www.vcgr.vic.gov.au/CA2570C30016EEF3/wListOfVenues/4479266B52465C75CA257C690082F9DB?Open" xr:uid="{00000000-0004-0000-0200-0000AC000000}"/>
    <hyperlink ref="B193" r:id="rId174" tooltip="GOLDEN NUGGET" display="http://www.vcgr.vic.gov.au/CA2570C30016EEF3/wListOfVenues/80AE993CF36153E7CA257C690082F888?Open" xr:uid="{00000000-0004-0000-0200-0000AD000000}"/>
    <hyperlink ref="B194" r:id="rId175" tooltip="GOLF HOUSE HOTEL" display="http://www.vcgr.vic.gov.au/CA2570C30016EEF3/wListOfVenues/43B9B79B5A5D226DCA257C690082F9BD?Open" xr:uid="{00000000-0004-0000-0200-0000AE000000}"/>
    <hyperlink ref="B195" r:id="rId176" tooltip="GORDON HOTEL" display="http://www.vcgr.vic.gov.au/CA2570C30016EEF3/wListOfVenues/1FF94FE28C0B5F5BCA257C690082F934?Open" xr:uid="{00000000-0004-0000-0200-0000AF000000}"/>
    <hyperlink ref="B196" r:id="rId177" tooltip="GORDON HOTEL" display="http://www.vcgr.vic.gov.au/CA2570C30016EEF3/wListOfVenues/89AEAAE6F36613A5CA257C690082F9F4?Open" xr:uid="{00000000-0004-0000-0200-0000B0000000}"/>
    <hyperlink ref="B197" r:id="rId178" tooltip="GOULBURN VALLEY HOTEL" display="http://www.vcgr.vic.gov.au/CA2570C30016EEF3/wListOfVenues/245E7CAC91A56F49CA257C690082F8C9?Open" xr:uid="{00000000-0004-0000-0200-0000B1000000}"/>
    <hyperlink ref="B198" r:id="rId179" tooltip="GRAND CENTRAL HOTEL (HAMILTON)" display="http://www.vcgr.vic.gov.au/CA2570C30016EEF3/wListOfVenues/CA698588491B57A3CA257C690082F877?Open" xr:uid="{00000000-0004-0000-0200-0000B2000000}"/>
    <hyperlink ref="B199" r:id="rId180" tooltip="GRAND HOTEL (FRANKSTON)" display="http://www.vcgr.vic.gov.au/CA2570C30016EEF3/wListOfVenues/053648DC393F4E6CCA257C690082F86C?Open" xr:uid="{00000000-0004-0000-0200-0000B3000000}"/>
    <hyperlink ref="B200" r:id="rId181" tooltip="GRAND HOTEL (MORNINGTON)" display="http://www.vcgr.vic.gov.au/CA2570C30016EEF3/wListOfVenues/ACBDF5AD016252A9CA257C690082F84A?Open" xr:uid="{00000000-0004-0000-0200-0000B4000000}"/>
    <hyperlink ref="B201" r:id="rId182" tooltip="GRAND JUNCTION HOTEL" display="http://www.vcgr.vic.gov.au/CA2570C30016EEF3/wListOfVenues/E2D57926D9EF4D20CA257C690082F850?Open" xr:uid="{00000000-0004-0000-0200-0000B5000000}"/>
    <hyperlink ref="B202" r:id="rId183" tooltip="GRAND TERMINUS HOTEL" display="http://www.vcgr.vic.gov.au/CA2570C30016EEF3/wListOfVenues/B75DA7A9B10D4B41CA257C690082F90F?Open" xr:uid="{00000000-0004-0000-0200-0000B6000000}"/>
    <hyperlink ref="B203" r:id="rId184" tooltip="GREAT WESTERN HOTEL" display="http://www.vcgr.vic.gov.au/CA2570C30016EEF3/wListOfVenues/28DB2CA30763ED78CA257C690082F8F2?Open" xr:uid="{00000000-0004-0000-0200-0000B7000000}"/>
    <hyperlink ref="B204" r:id="rId185" tooltip="GREEN GULLY SOCCER CLUB" display="http://www.vcgr.vic.gov.au/CA2570C30016EEF3/wListOfVenues/1BBF57B255A7F6C0CA257C690082F8E2?Open" xr:uid="{00000000-0004-0000-0200-0000B8000000}"/>
    <hyperlink ref="B205" r:id="rId186" tooltip="GREENSBOROUGH HOTEL" display="http://www.vcgr.vic.gov.au/CA2570C30016EEF3/wListOfVenues/B1233C4EC8CF0BF6CA257C690082F901?Open" xr:uid="{00000000-0004-0000-0200-0000B9000000}"/>
    <hyperlink ref="B206" r:id="rId187" tooltip="GREENSBOROUGH RSL" display="http://www.vcgr.vic.gov.au/CA2570C30016EEF3/wListOfVenues/02D7E030A14FE1F5CA257C690082F845?Open" xr:uid="{00000000-0004-0000-0200-0000BA000000}"/>
    <hyperlink ref="B207" r:id="rId188" tooltip="GREYHOUNDS ENTERTAINMENT" display="http://www.vcgr.vic.gov.au/CA2570C30016EEF3/wListOfVenues/885564CC2779DB4DCA257C690082F89A?Open" xr:uid="{00000000-0004-0000-0200-0000BB000000}"/>
    <hyperlink ref="B208" r:id="rId189" tooltip="GROSVENOR HOTEL" display="http://www.vcgr.vic.gov.au/CA2570C30016EEF3/wListOfVenues/816EB78631341D30CA257C690082F8D5?Open" xr:uid="{00000000-0004-0000-0200-0000BC000000}"/>
    <hyperlink ref="B209" r:id="rId190" tooltip="GROVEDALE HOTEL" display="http://www.vcgr.vic.gov.au/CA2570C30016EEF3/wListOfVenues/307879A0B4404436CA257C690082F874?Open" xr:uid="{00000000-0004-0000-0200-0000BD000000}"/>
    <hyperlink ref="B210" r:id="rId191" tooltip="HALLAM TAVERNER" display="http://www.vcgr.vic.gov.au/CA2570C30016EEF3/wListOfVenues/E0911840FCCF0C05CA257C690082F9C1?Open" xr:uid="{00000000-0004-0000-0200-0000BE000000}"/>
    <hyperlink ref="B211" r:id="rId192" tooltip="HAMPTON BOWLS CLUB" display="http://www.vcgr.vic.gov.au/CA2570C30016EEF3/wListOfVenues/93A5C23B074E607ACA257C690082F83B?Open" xr:uid="{00000000-0004-0000-0200-0000BF000000}"/>
    <hyperlink ref="B212" r:id="rId193" tooltip="HAMPTON PARK TAVERN" display="http://www.vcgr.vic.gov.au/CA2570C30016EEF3/wListOfVenues/4E4EBDD379BE2747CA257C690082F81F?Open" xr:uid="{00000000-0004-0000-0200-0000C0000000}"/>
    <hyperlink ref="B213" r:id="rId194" tooltip="HAMPTON RSL" display="http://www.vcgr.vic.gov.au/CA2570C30016EEF3/wListOfVenues/1448592F6CA5375FCA257C690082F9FE?Open" xr:uid="{00000000-0004-0000-0200-0000C1000000}"/>
    <hyperlink ref="B214" r:id="rId195" tooltip="HARP OF ERIN HOTEL" display="http://www.vcgr.vic.gov.au/CA2570C30016EEF3/wListOfVenues/59DABE61FF9C2DFCCA257C690082F965?Open" xr:uid="{00000000-0004-0000-0200-0000C2000000}"/>
    <hyperlink ref="B215" r:id="rId196" tooltip="HASTINGS CRICKET &amp; FOOTBALL SOCIAL CLUB" display="http://www.vcgr.vic.gov.au/CA2570C30016EEF3/wListOfVenues/A2CDAF4982EF20ABCA257C690082F87E?Open" xr:uid="{00000000-0004-0000-0200-0000C3000000}"/>
    <hyperlink ref="B216" r:id="rId197" tooltip="HEALESVILLE RSL" display="http://www.vcgr.vic.gov.au/CA2570C30016EEF3/wListOfVenues/BC3F1ED2509FF2D8CA257C690082F926?Open" xr:uid="{00000000-0004-0000-0200-0000C4000000}"/>
    <hyperlink ref="B217" r:id="rId198" tooltip="HEIDELBERG RSL" display="http://www.vcgr.vic.gov.au/CA2570C30016EEF3/wListOfVenues/1471C0479E754664CA257C690082F9FF?Open" xr:uid="{00000000-0004-0000-0200-0000C5000000}"/>
    <hyperlink ref="B218" r:id="rId199" tooltip="HIGHETT RETURNED &amp; SERVICES CLUB" display="http://www.vcgr.vic.gov.au/CA2570C30016EEF3/wListOfVenues/CA7A10BB9B38B05ACA257C690082F82D?Open" xr:uid="{00000000-0004-0000-0200-0000C6000000}"/>
    <hyperlink ref="B219" r:id="rId200" tooltip="HIGHLANDS HOTEL" display="http://www.vcgr.vic.gov.au/CA2570C30016EEF3/wListOfVenues/41952095F3EEF467CA257C690082F9CE?Open" xr:uid="{00000000-0004-0000-0200-0000C7000000}"/>
    <hyperlink ref="B220" r:id="rId201" tooltip="HIGHPOINT TAVERNER" display="http://www.vcgr.vic.gov.au/CA2570C30016EEF3/wListOfVenues/9514C4F46DB7F31DCA257C690082F9D0?Open" xr:uid="{00000000-0004-0000-0200-0000C8000000}"/>
    <hyperlink ref="B221" r:id="rId202" tooltip="HIGHWAYS SANDOWN" display="http://www.vcgr.vic.gov.au/CA2570C30016EEF3/wListOfVenues/71A0AA8B57F355E0CA257C690082F928?Open" xr:uid="{00000000-0004-0000-0200-0000C9000000}"/>
    <hyperlink ref="B222" r:id="rId203" tooltip="HILL TOP GOLF AND COUNTRY CLUB" display="http://www.vcgr.vic.gov.au/CA2570C30016EEF3/wListOfVenues/5A77959BD4FA3F85CA257C690082F8B6?Open" xr:uid="{00000000-0004-0000-0200-0000CA000000}"/>
    <hyperlink ref="B223" r:id="rId204" tooltip="HOGANS HOTEL" display="http://www.vcgr.vic.gov.au/CA2570C30016EEF3/wListOfVenues/E378D5C532E890E5CA257C690082F95B?Open" xr:uid="{00000000-0004-0000-0200-0000CB000000}"/>
    <hyperlink ref="B224" r:id="rId205" tooltip="HOPPERS CROSSING CLUB" display="http://www.vcgr.vic.gov.au/CA2570C30016EEF3/wListOfVenues/75F3A2FFF1D5381FCA257C690082F89D?Open" xr:uid="{00000000-0004-0000-0200-0000CC000000}"/>
    <hyperlink ref="B225" r:id="rId206" tooltip="HOPPERS CROSSING SPORTS CLUB" display="http://www.vcgr.vic.gov.au/CA2570C30016EEF3/wListOfVenues/2BD8ADE127DBA175CA257C690082F90A?Open" xr:uid="{00000000-0004-0000-0200-0000CD000000}"/>
    <hyperlink ref="B226" r:id="rId207" tooltip="HORSHAM RSL" display="http://www.vcgr.vic.gov.au/CA2570C30016EEF3/wListOfVenues/B599186CFDCA9971CA257C690082F7EB?Open" xr:uid="{00000000-0004-0000-0200-0000CE000000}"/>
    <hyperlink ref="B227" r:id="rId208" tooltip="HORSHAM SPORTS &amp; COMMUNITY CLUB" display="http://www.vcgr.vic.gov.au/CA2570C30016EEF3/wListOfVenues/B1A45AC2DF15229DCA257C690082F8A0?Open" xr:uid="{00000000-0004-0000-0200-0000CF000000}"/>
    <hyperlink ref="B228" r:id="rId209" tooltip="HOTEL 520 ON SAYERS" display="http://www.vcgr.vic.gov.au/CA2570C30016EEF3/wListOfVenues/C22B00970579BBB3CA257C690082F9CD?Open" xr:uid="{00000000-0004-0000-0200-0000D0000000}"/>
    <hyperlink ref="B230" r:id="rId210" tooltip="ISLE OF WIGHT HOTEL" display="http://www.vcgr.vic.gov.au/CA2570C30016EEF3/wListOfVenues/51B80397F2260C93CA257C690082F9DE?Open" xr:uid="{00000000-0004-0000-0200-0000D1000000}"/>
    <hyperlink ref="B231" r:id="rId211" tooltip="ITALIAN AUSTRALIAN SPORTING AND SOCIAL CLUB OF GIPPSLAND" display="http://www.vcgr.vic.gov.au/CA2570C30016EEF3/wListOfVenues/921809E1CEEE45D4CA257C690082F82E?Open" xr:uid="{00000000-0004-0000-0200-0000D2000000}"/>
    <hyperlink ref="B232" r:id="rId212" tooltip="ITALIAN SPORTS CLUB OF WERRIBEE" display="http://www.vcgr.vic.gov.au/CA2570C30016EEF3/wListOfVenues/31205F7A2B8B905FCA257C690082F875?Open" xr:uid="{00000000-0004-0000-0200-0000D3000000}"/>
    <hyperlink ref="B233" r:id="rId213" tooltip="IVANHOE HOTEL" display="http://www.vcgr.vic.gov.au/CA2570C30016EEF3/wListOfVenues/DAEA8821FA25559BCA257C690082F8F4?Open" xr:uid="{00000000-0004-0000-0200-0000D4000000}"/>
    <hyperlink ref="B235" r:id="rId214" tooltip="JOKERS ON RYRIE" display="http://www.vcgr.vic.gov.au/CA2570C30016EEF3/wListOfVenues/C446C7281DABCCB7CA257C690082F8A6?Open" xr:uid="{00000000-0004-0000-0200-0000D5000000}"/>
    <hyperlink ref="B236" r:id="rId215" tooltip="JUNCTION HOTEL" display="http://www.vcgr.vic.gov.au/CA2570C30016EEF3/wListOfVenues/09939FE3C1EAC676CA257C690082F8EB?Open" xr:uid="{00000000-0004-0000-0200-0000D6000000}"/>
    <hyperlink ref="B237" r:id="rId216" tooltip="KANGAROO FLAT SPORTS CLUB" display="http://www.vcgr.vic.gov.au/CA2570C30016EEF3/wListOfVenues/A3275747F0BB34F5CA257C690082F924?Open" xr:uid="{00000000-0004-0000-0200-0000D7000000}"/>
    <hyperlink ref="B238" r:id="rId217" tooltip="KARINGAL BOWLING CLUB" display="http://www.vcgr.vic.gov.au/CA2570C30016EEF3/wListOfVenues/33FB6E77BE8B5323CA257C690082F96B?Open" xr:uid="{00000000-0004-0000-0200-0000D8000000}"/>
    <hyperlink ref="B239" r:id="rId218" tooltip="KEALBA HOTEL" display="http://www.vcgr.vic.gov.au/CA2570C30016EEF3/wListOfVenues/6E336853B9CE9349CA257C690082F8ED?Open" xr:uid="{00000000-0004-0000-0200-0000D9000000}"/>
    <hyperlink ref="B240" r:id="rId219" tooltip="KEILOR EAST RSL" display="http://www.vcgr.vic.gov.au/CA2570C30016EEF3/wListOfVenues/C6D7D6AB06EA98F8CA257C690082F82F?Open" xr:uid="{00000000-0004-0000-0200-0000DA000000}"/>
    <hyperlink ref="B241" r:id="rId220" tooltip="KEILOR HOTEL" display="http://www.vcgr.vic.gov.au/CA2570C30016EEF3/wListOfVenues/1424908CB0B2444ACA257C690082F857?Open" xr:uid="{00000000-0004-0000-0200-0000DB000000}"/>
    <hyperlink ref="B242" r:id="rId221" tooltip="KERANG  SPORTS AND ENTERTAINMENT VENUE" display="http://www.vcgr.vic.gov.au/CA2570C30016EEF3/wListOfVenues/801D6D80B99AA1BFCA257C690082F913?Open" xr:uid="{00000000-0004-0000-0200-0000DC000000}"/>
    <hyperlink ref="B243" r:id="rId222" tooltip="KEYSBOROUGH HOTEL" display="http://www.vcgr.vic.gov.au/CA2570C30016EEF3/wListOfVenues/6B911607CB075B87CA257C690082F8EE?Open" xr:uid="{00000000-0004-0000-0200-0000DD000000}"/>
    <hyperlink ref="B244" r:id="rId223" tooltip="KILMORE TRACKSIDE" display="http://www.vcgr.vic.gov.au/CA2570C30016EEF3/wListOfVenues/52FB6360610D7F46CA257C690082F881?Open" xr:uid="{00000000-0004-0000-0200-0000DE000000}"/>
    <hyperlink ref="B245" r:id="rId224" tooltip="KINGS CREEK HOTEL" display="http://www.vcgr.vic.gov.au/CA2570C30016EEF3/wListOfVenues/C0F7ABB8BC3E1911CA257C690082F7F4?Open" xr:uid="{00000000-0004-0000-0200-0000DF000000}"/>
    <hyperlink ref="B246" r:id="rId225" tooltip="KIRKPATRICKS HOTEL" display="http://www.vcgr.vic.gov.au/CA2570C30016EEF3/wListOfVenues/0F68F86E9D4E8367CA257C690082F933?Open" xr:uid="{00000000-0004-0000-0200-0000E0000000}"/>
    <hyperlink ref="B247" r:id="rId226" tooltip="KNOX CLUB" display="http://www.vcgr.vic.gov.au/CA2570C30016EEF3/wListOfVenues/5E2C9CBD1C193166CA257C690082F9EF?Open" xr:uid="{00000000-0004-0000-0200-0000E1000000}"/>
    <hyperlink ref="B248" r:id="rId227" tooltip="KNOX TAVERN" display="http://www.vcgr.vic.gov.au/CA2570C30016EEF3/wListOfVenues/817744467DDE412DCA257C690082F7ED?Open" xr:uid="{00000000-0004-0000-0200-0000E2000000}"/>
    <hyperlink ref="B249" r:id="rId228" tooltip="KNOX TAVERN" display="http://www.vcgr.vic.gov.au/CA2570C30016EEF3/wListOfVenues/95FAAE0D9DB21F05CA257C690082F9E6?Open" xr:uid="{00000000-0004-0000-0200-0000E3000000}"/>
    <hyperlink ref="B250" r:id="rId229" tooltip="KOORINGAL GOLF CLUB" display="http://www.vcgr.vic.gov.au/CA2570C30016EEF3/wListOfVenues/1720B9673E01DFE1CA257C690082F85F?Open" xr:uid="{00000000-0004-0000-0200-0000E4000000}"/>
    <hyperlink ref="B251" r:id="rId230" tooltip="KORUMBURRA HOTEL" display="http://www.vcgr.vic.gov.au/CA2570C30016EEF3/wListOfVenues/E1E3CEB61AF762A0CA257C690082F981?Open" xr:uid="{00000000-0004-0000-0200-0000E5000000}"/>
    <hyperlink ref="B252" r:id="rId231" tooltip="KYABRAM CLUB" display="http://www.vcgr.vic.gov.au/CA2570C30016EEF3/wListOfVenues/001F44BE67F8C661CA257C690082F7F9?Open" xr:uid="{00000000-0004-0000-0200-0000E6000000}"/>
    <hyperlink ref="B253" r:id="rId232" tooltip="KYNETON BOWLING CLUB" display="http://www.vcgr.vic.gov.au/CA2570C30016EEF3/wListOfVenues/DC0D8EA837F30874CA257C690082F91A?Open" xr:uid="{00000000-0004-0000-0200-0000E7000000}"/>
    <hyperlink ref="B254" r:id="rId233" tooltip="KYNETON RSL" display="http://www.vcgr.vic.gov.au/CA2570C30016EEF3/wListOfVenues/881F9B4D07052D04CA257C690082F900?Open" xr:uid="{00000000-0004-0000-0200-0000E8000000}"/>
    <hyperlink ref="B273" r:id="rId234" tooltip="L" display="http://www.vcgr.vic.gov.au/CA2570C30016EEF3/wListOfVenues/E7E88F7EED239415CA257C690082F8EC?Open" xr:uid="{00000000-0004-0000-0200-0000E9000000}"/>
    <hyperlink ref="B256" r:id="rId235" tooltip="LAKES ENTRANCE BOWLS CLUB" display="http://www.vcgr.vic.gov.au/CA2570C30016EEF3/wListOfVenues/1B412E3C1AD0E6B5CA257C690082F890?Open" xr:uid="{00000000-0004-0000-0200-0000EA000000}"/>
    <hyperlink ref="B257" r:id="rId236" tooltip="LAKES ENTRANCE RSL" display="http://www.vcgr.vic.gov.au/CA2570C30016EEF3/wListOfVenues/85E10E174F029F2BCA257C690082F951?Open" xr:uid="{00000000-0004-0000-0200-0000EB000000}"/>
    <hyperlink ref="B258" r:id="rId237" tooltip="LAKESIDE CLUB" display="http://www.vcgr.vic.gov.au/CA2570C30016EEF3/wListOfVenues/BF534622A984E65ACA257C690082F9D9?Open" xr:uid="{00000000-0004-0000-0200-0000EC000000}"/>
    <hyperlink ref="B259" r:id="rId238" tooltip="LALOR BOWLING CLUB" display="http://www.vcgr.vic.gov.au/CA2570C30016EEF3/wListOfVenues/043A531A3FCC866FCA257C690082F95E?Open" xr:uid="{00000000-0004-0000-0200-0000ED000000}"/>
    <hyperlink ref="B260" r:id="rId239" tooltip="LANGWARRIN HOTEL" display="http://www.vcgr.vic.gov.au/CA2570C30016EEF3/wListOfVenues/D0B7FB953BC787C5CA257C690082F8A5?Open" xr:uid="{00000000-0004-0000-0200-0000EE000000}"/>
    <hyperlink ref="B261" r:id="rId240" tooltip="LARA HOTEL" display="http://www.vcgr.vic.gov.au/CA2570C30016EEF3/wListOfVenues/EAE86F96B05E5D49CA257C690082F8BB?Open" xr:uid="{00000000-0004-0000-0200-0000EF000000}"/>
    <hyperlink ref="B262" r:id="rId241" tooltip="LARA SPORTING CLUB" display="http://www.vcgr.vic.gov.au/CA2570C30016EEF3/wListOfVenues/DEB41F9B69C623E0CA257C690082F90C?Open" xr:uid="{00000000-0004-0000-0200-0000F0000000}"/>
    <hyperlink ref="B263" r:id="rId242" tooltip="LEIGHOAK" display="http://www.vcgr.vic.gov.au/CA2570C30016EEF3/wListOfVenues/EBFC9392E0D83703CA257C690082F8FD?Open" xr:uid="{00000000-0004-0000-0200-0000F1000000}"/>
    <hyperlink ref="B264" r:id="rId243" tooltip="LEONGATHA RSL" display="http://www.vcgr.vic.gov.au/CA2570C30016EEF3/wListOfVenues/901F59D8E46852AFCA257C690082F96A?Open" xr:uid="{00000000-0004-0000-0200-0000F2000000}"/>
    <hyperlink ref="B265" r:id="rId244" tooltip="LEOPOLD SPORTSMANS CLUB" display="http://www.vcgr.vic.gov.au/CA2570C30016EEF3/wListOfVenues/40415A5EC15D2A6FCA257C690082F80D?Open" xr:uid="{00000000-0004-0000-0200-0000F3000000}"/>
    <hyperlink ref="B266" r:id="rId245" tooltip="LINCOLNSHIRE ARMS HOTEL" display="http://www.vcgr.vic.gov.au/CA2570C30016EEF3/wListOfVenues/49CFEA411A17A40FCA257C690082F8C8?Open" xr:uid="{00000000-0004-0000-0200-0000F4000000}"/>
    <hyperlink ref="B267" r:id="rId246" tooltip="LOCH SPORT RSL" display="http://www.vcgr.vic.gov.au/CA2570C30016EEF3/wListOfVenues/7E45547D1F9F9468CA257C690082F9FD?Open" xr:uid="{00000000-0004-0000-0200-0000F5000000}"/>
    <hyperlink ref="B268" r:id="rId247" tooltip="LONDON TAVERN" display="http://www.vcgr.vic.gov.au/CA2570C30016EEF3/wListOfVenues/6AB88F9BF412970DCA257C690082F8E5?Open" xr:uid="{00000000-0004-0000-0200-0000F6000000}"/>
    <hyperlink ref="B269" r:id="rId248" tooltip="LONG BEACH HOTEL" display="http://www.vcgr.vic.gov.au/CA2570C30016EEF3/wListOfVenues/52E5372633A15C12CA257C690082F93F?Open" xr:uid="{00000000-0004-0000-0200-0000F7000000}"/>
    <hyperlink ref="B270" r:id="rId249" tooltip="LORD OF THE ISLES TAVERN" display="http://www.vcgr.vic.gov.au/CA2570C30016EEF3/wListOfVenues/86CE4E68718BAA2ECA257C690082F873?Open" xr:uid="{00000000-0004-0000-0200-0000F8000000}"/>
    <hyperlink ref="B271" r:id="rId250" tooltip="LORNE HOTEL" display="http://www.vcgr.vic.gov.au/CA2570C30016EEF3/wListOfVenues/728782FD7D11481BCA257C690082F8C3?Open" xr:uid="{00000000-0004-0000-0200-0000F9000000}"/>
    <hyperlink ref="B272" r:id="rId251" tooltip="LOWER PLENTY HOTEL" display="http://www.vcgr.vic.gov.au/CA2570C30016EEF3/wListOfVenues/828303339C2AEAB2CA257C690082F88A?Open" xr:uid="{00000000-0004-0000-0200-0000FA000000}"/>
    <hyperlink ref="B274" r:id="rId252" tooltip="LYNBROOK HOTEL" display="http://www.vcgr.vic.gov.au/CA2570C30016EEF3/wListOfVenues/1235CAB37E909BEECA257C690082F902?Open" xr:uid="{00000000-0004-0000-0200-0000FB000000}"/>
    <hyperlink ref="B275" r:id="rId253" tooltip="LYNDHURST CLUB HOTEL" display="http://www.vcgr.vic.gov.au/CA2570C30016EEF3/wListOfVenues/67BB33217950D2F3CA257C690082F983?Open" xr:uid="{00000000-0004-0000-0200-0000FC000000}"/>
    <hyperlink ref="B276" r:id="rId254" tooltip="MAC" display="http://www.vcgr.vic.gov.au/CA2570C30016EEF3/wListOfVenues/2888426133B09BBDCA257C690082F953?Open" xr:uid="{00000000-0004-0000-0200-0000FD000000}"/>
    <hyperlink ref="B277" r:id="rId255" tooltip="MAC" display="http://www.vcgr.vic.gov.au/CA2570C30016EEF3/wListOfVenues/00B00FB138196292CA257C690082F92D?Open" xr:uid="{00000000-0004-0000-0200-0000FE000000}"/>
    <hyperlink ref="B278" r:id="rId256" tooltip="MAFFRA COMMUNITY SPORTS CLUB" display="http://www.vcgr.vic.gov.au/CA2570C30016EEF3/wListOfVenues/601C4995D1FCAAEBCA257C690082F8A7?Open" xr:uid="{00000000-0004-0000-0200-0000FF000000}"/>
    <hyperlink ref="B279" r:id="rId257" tooltip="MAGPIE AND STUMP HOTEL" display="http://www.vcgr.vic.gov.au/CA2570C30016EEF3/wListOfVenues/0B9BF181A388EDB0CA257C690082F9A0?Open" xr:uid="{00000000-0004-0000-0200-000000010000}"/>
    <hyperlink ref="B280" r:id="rId258" tooltip="MAIL EXCHANGE HOTEL" display="http://www.vcgr.vic.gov.au/CA2570C30016EEF3/wListOfVenues/313DEBC74BBF67C7CA257C690082F999?Open" xr:uid="{00000000-0004-0000-0200-000001010000}"/>
    <hyperlink ref="B281" r:id="rId259" tooltip="MALVERN VALE CLUB HOTEL" display="http://www.vcgr.vic.gov.au/CA2570C30016EEF3/wListOfVenues/0CF9BEE6744A962ACA257C690082F941?Open" xr:uid="{00000000-0004-0000-0200-000002010000}"/>
    <hyperlink ref="B282" r:id="rId260" tooltip="MANHATTAN HOTEL" display="http://www.vcgr.vic.gov.au/CA2570C30016EEF3/wListOfVenues/A65F4450694BB770CA257C690082F838?Open" xr:uid="{00000000-0004-0000-0200-000003010000}"/>
    <hyperlink ref="B283" r:id="rId261" tooltip="MANNINGHAM CLUB" display="http://www.vcgr.vic.gov.au/CA2570C30016EEF3/wListOfVenues/37F237C46FB45014CA257C690082F9BE?Open" xr:uid="{00000000-0004-0000-0200-000004010000}"/>
    <hyperlink ref="B284" r:id="rId262" tooltip="MANSFIELD GOLF CLUB" display="http://www.vcgr.vic.gov.au/CA2570C30016EEF3/wListOfVenues/489E6B94BBB243DECA257C690082F8CC?Open" xr:uid="{00000000-0004-0000-0200-000005010000}"/>
    <hyperlink ref="B285" r:id="rId263" tooltip="MARINE HOTEL" display="http://www.vcgr.vic.gov.au/CA2570C30016EEF3/wListOfVenues/A3D5D8E90A926AB6CA257C690082F97E?Open" xr:uid="{00000000-0004-0000-0200-000006010000}"/>
    <hyperlink ref="B286" r:id="rId264" tooltip="MAROONDAH SPORTS CLUB" display="http://www.vcgr.vic.gov.au/CA2570C30016EEF3/wListOfVenues/76147ED596FAE19ECA257C690082F821?Open" xr:uid="{00000000-0004-0000-0200-000007010000}"/>
    <hyperlink ref="B287" r:id="rId265" tooltip="MARYBOROUGH GOLF CLUB" display="http://www.vcgr.vic.gov.au/CA2570C30016EEF3/wListOfVenues/9C9FD81B23A8A759CA257C690082F835?Open" xr:uid="{00000000-0004-0000-0200-000008010000}"/>
    <hyperlink ref="B288" r:id="rId266" tooltip="MARYBOROUGH HIGHLAND SOCIETY" display="http://www.vcgr.vic.gov.au/CA2570C30016EEF3/wListOfVenues/A4770D349C957646CA257C690082F8E6?Open" xr:uid="{00000000-0004-0000-0200-000009010000}"/>
    <hyperlink ref="B289" r:id="rId267" tooltip="MATTHEW FLINDERS TAVERNER" display="http://www.vcgr.vic.gov.au/CA2570C30016EEF3/wListOfVenues/56D321EF35110E21CA257C690082F9C5?Open" xr:uid="{00000000-0004-0000-0200-00000A010000}"/>
    <hyperlink ref="B290" r:id="rId268" tooltip="MCCARTINS HOTEL" display="http://www.vcgr.vic.gov.au/CA2570C30016EEF3/wListOfVenues/D0866B84863F921CCA257C690082F966?Open" xr:uid="{00000000-0004-0000-0200-00000B010000}"/>
    <hyperlink ref="B291" r:id="rId269" tooltip="MCKINNON HOTEL" display="http://www.vcgr.vic.gov.au/CA2570C30016EEF3/wListOfVenues/59B46E41C09051ABCA257C690082F91C?Open" xr:uid="{00000000-0004-0000-0200-00000C010000}"/>
    <hyperlink ref="B292" r:id="rId270" tooltip="MEADOW INN HOTEL" display="http://www.vcgr.vic.gov.au/CA2570C30016EEF3/wListOfVenues/7332E1D71A7B0C12CA257C690082F954?Open" xr:uid="{00000000-0004-0000-0200-00000D010000}"/>
    <hyperlink ref="B294" r:id="rId271" tooltip="MELTON COUNTRY CLUB" display="http://www.vcgr.vic.gov.au/CA2570C30016EEF3/wListOfVenues/D310B8131CD893A8CA257C690082F8D7?Open" xr:uid="{00000000-0004-0000-0200-00000E010000}"/>
    <hyperlink ref="B295" r:id="rId272" tooltip="MENTONE RSL" display="http://www.vcgr.vic.gov.au/CA2570C30016EEF3/wListOfVenues/9FBBFDD042BEC971CA257C690082F899?Open" xr:uid="{00000000-0004-0000-0200-00000F010000}"/>
    <hyperlink ref="B296" r:id="rId273" tooltip="MERBEIN CITIZENS CLUB" display="http://www.vcgr.vic.gov.au/CA2570C30016EEF3/wListOfVenues/114DC579A1AF8CF6CA257C690082F93E?Open" xr:uid="{00000000-0004-0000-0200-000010010000}"/>
    <hyperlink ref="B297" r:id="rId274" tooltip="MERCURE GRAND HOTEL ON SWANSTON" display="http://www.vcgr.vic.gov.au/CA2570C30016EEF3/wListOfVenues/400910C51DA1362BCA257C690082F86F?Open" xr:uid="{00000000-0004-0000-0200-000011010000}"/>
    <hyperlink ref="B298" r:id="rId275" tooltip="MIDLANDS GOLF CLUB" display="http://www.vcgr.vic.gov.au/CA2570C30016EEF3/wListOfVenues/D3DE4A2AB2EDF379CA257C690082F84D?Open" xr:uid="{00000000-0004-0000-0200-000012010000}"/>
    <hyperlink ref="B299" r:id="rId276" tooltip="MILANO" display="http://www.vcgr.vic.gov.au/CA2570C30016EEF3/wListOfVenues/6F5969468765EF21CA257C690082F997?Open" xr:uid="{00000000-0004-0000-0200-000013010000}"/>
    <hyperlink ref="B300" r:id="rId277" tooltip="MILDURA GATEWAY TAVERN" display="http://www.vcgr.vic.gov.au/CA2570C30016EEF3/wListOfVenues/135DFDFAC87FF09ACA257C690082F88B?Open" xr:uid="{00000000-0004-0000-0200-000014010000}"/>
    <hyperlink ref="B301" r:id="rId278" tooltip="MILDURA GOLF CLUB" display="http://www.vcgr.vic.gov.au/CA2570C30016EEF3/wListOfVenues/2EB84572B04888E1CA257C690082F925?Open" xr:uid="{00000000-0004-0000-0200-000015010000}"/>
    <hyperlink ref="B302" r:id="rId279" tooltip="MILDURA GRAND HOTEL" display="http://www.vcgr.vic.gov.au/CA2570C30016EEF3/wListOfVenues/1E6A3F1E8EA100AACA257C690082F9A3?Open" xr:uid="{00000000-0004-0000-0200-000016010000}"/>
    <hyperlink ref="B303" r:id="rId280" tooltip="MILDURA RSL" display="http://www.vcgr.vic.gov.au/CA2570C30016EEF3/wListOfVenues/9613CB8DC06E58A6CA257C690082F7EE?Open" xr:uid="{00000000-0004-0000-0200-000017010000}"/>
    <hyperlink ref="B304" r:id="rId281" tooltip="MILDURA WORKING MANS SPORTS &amp; SOCIAL CLUB" display="http://www.vcgr.vic.gov.au/CA2570C30016EEF3/wListOfVenues/281212CD1D46193ECA257C690082F843?Open" xr:uid="{00000000-0004-0000-0200-000018010000}"/>
    <hyperlink ref="B305" r:id="rId282" tooltip="MILLERS INN HOTEL" display="http://www.vcgr.vic.gov.au/CA2570C30016EEF3/wListOfVenues/5B2A5CA890A5482ECA257C690082F82B?Open" xr:uid="{00000000-0004-0000-0200-000019010000}"/>
    <hyperlink ref="B307" r:id="rId283" tooltip="MITCHAM HOTEL" display="http://www.vcgr.vic.gov.au/CA2570C30016EEF3/wListOfVenues/F857FBA5FC8BEA4DCA257C690082F8D1?Open" xr:uid="{00000000-0004-0000-0200-00001A010000}"/>
    <hyperlink ref="B308" r:id="rId284" tooltip="MITCHAM RSL" display="http://www.vcgr.vic.gov.au/CA2570C30016EEF3/wListOfVenues/1672CAD35F77BDD2CA257C690082F859?Open" xr:uid="{00000000-0004-0000-0200-00001B010000}"/>
    <hyperlink ref="B309" r:id="rId285" tooltip="MITCHELL RIVER TAVERN" display="http://www.vcgr.vic.gov.au/CA2570C30016EEF3/wListOfVenues/B1C73A727B2F72A5CA257C690082F905?Open" xr:uid="{00000000-0004-0000-0200-00001C010000}"/>
    <hyperlink ref="B310" r:id="rId286" tooltip="MOE HOTEL" display="http://www.vcgr.vic.gov.au/CA2570C30016EEF3/wListOfVenues/BCE2DD1BCAA2D438CA257C690082F84C?Open" xr:uid="{00000000-0004-0000-0200-00001D010000}"/>
    <hyperlink ref="B311" r:id="rId287" tooltip="MOE RACING CLUB" display="http://www.vcgr.vic.gov.au/CA2570C30016EEF3/wListOfVenues/7AC33348E3670FF8CA257C690082F7FE?Open" xr:uid="{00000000-0004-0000-0200-00001E010000}"/>
    <hyperlink ref="B312" r:id="rId288" tooltip="MOE RSL CLUB" display="http://www.vcgr.vic.gov.au/CA2570C30016EEF3/wListOfVenues/BCD366BCA25B1C9DCA257C690082F851?Open" xr:uid="{00000000-0004-0000-0200-00001F010000}"/>
    <hyperlink ref="B313" r:id="rId289" tooltip="MONASH HOTEL" display="http://www.vcgr.vic.gov.au/CA2570C30016EEF3/wListOfVenues/0C4DB6F9F2695D08CA257C690082F984?Open" xr:uid="{00000000-0004-0000-0200-000020010000}"/>
    <hyperlink ref="B314" r:id="rId290" tooltip="MONBULK BOWLING CLUB" display="http://www.vcgr.vic.gov.au/CA2570C30016EEF3/wListOfVenues/363E1BB244E56EC6CA257C690082F93D?Open" xr:uid="{00000000-0004-0000-0200-000021010000}"/>
    <hyperlink ref="B315" r:id="rId291" tooltip="MONTMORENCY RSL" display="http://www.vcgr.vic.gov.au/CA2570C30016EEF3/wListOfVenues/53A86FFADE7FC7CFCA257C690082F862?Open" xr:uid="{00000000-0004-0000-0200-000022010000}"/>
    <hyperlink ref="B317" r:id="rId292" tooltip="MOONEE VALLEY RACING CLUB" display="http://www.vcgr.vic.gov.au/CA2570C30016EEF3/wListOfVenues/F55055010760C2E4CA257C690082F832?Open" xr:uid="{00000000-0004-0000-0200-000023010000}"/>
    <hyperlink ref="B318" r:id="rId293" tooltip="MOOROOPNA GOLF CLUB" display="http://www.vcgr.vic.gov.au/CA2570C30016EEF3/wListOfVenues/E836574EE8CB8129CA257C690082F81E?Open" xr:uid="{00000000-0004-0000-0200-000024010000}"/>
    <hyperlink ref="B319" r:id="rId294" tooltip="MORDIALLOC SPORTING CLUB" display="http://www.vcgr.vic.gov.au/CA2570C30016EEF3/wListOfVenues/46C189B232E1868FCA257C690082F93C?Open" xr:uid="{00000000-0004-0000-0200-000025010000}"/>
    <hyperlink ref="B320" r:id="rId295" tooltip="MORELAND HOTEL" display="http://www.vcgr.vic.gov.au/CA2570C30016EEF3/wListOfVenues/C9AD9B70422BECEACA257C690082F98B?Open" xr:uid="{00000000-0004-0000-0200-000026010000}"/>
    <hyperlink ref="B321" r:id="rId296" tooltip="MORNINGTON ON TANTI HOTEL" display="http://www.vcgr.vic.gov.au/CA2570C30016EEF3/wListOfVenues/45707195234F87FECA257C690082F9D5?Open" xr:uid="{00000000-0004-0000-0200-000027010000}"/>
    <hyperlink ref="B322" r:id="rId297" tooltip="MORWELL BOWLING CLUB" display="http://www.vcgr.vic.gov.au/CA2570C30016EEF3/wListOfVenues/59EEE76161512110CA257C690082F8F8?Open" xr:uid="{00000000-0004-0000-0200-000028010000}"/>
    <hyperlink ref="B323" r:id="rId298" tooltip="MORWELL CLUB" display="http://www.vcgr.vic.gov.au/CA2570C30016EEF3/wListOfVenues/E78BEB061202966BCA257C690082F842?Open" xr:uid="{00000000-0004-0000-0200-000029010000}"/>
    <hyperlink ref="B324" r:id="rId299" tooltip="MORWELL HOTEL" display="http://www.vcgr.vic.gov.au/CA2570C30016EEF3/wListOfVenues/376ADE3C441B2D76CA257C690082F898?Open" xr:uid="{00000000-0004-0000-0200-00002A010000}"/>
    <hyperlink ref="B325" r:id="rId300" tooltip="MORWELL RSL" display="http://www.vcgr.vic.gov.au/CA2570C30016EEF3/wListOfVenues/FE82C66A12C422F8CA257C690082F86E?Open" xr:uid="{00000000-0004-0000-0200-00002B010000}"/>
    <hyperlink ref="B326" r:id="rId301" tooltip="MOTOR CLUB HOTEL" display="http://www.vcgr.vic.gov.au/CA2570C30016EEF3/wListOfVenues/A425728092A68F2FCA257C690082F811?Open" xr:uid="{00000000-0004-0000-0200-00002C010000}"/>
    <hyperlink ref="B327" r:id="rId302" tooltip="MOUNT BEAUTY COUNTRY CLUB" display="http://www.vcgr.vic.gov.au/CA2570C30016EEF3/wListOfVenues/AEAB4D48EFD5E3CDCA257C690082F99D?Open" xr:uid="{00000000-0004-0000-0200-00002D010000}"/>
    <hyperlink ref="B328" r:id="rId303" tooltip="MOUNTAIN VIEW HOTEL" display="http://www.vcgr.vic.gov.au/CA2570C30016EEF3/wListOfVenues/4FC207CF03572FF6CA257C690082F870?Open" xr:uid="{00000000-0004-0000-0200-00002E010000}"/>
    <hyperlink ref="B329" r:id="rId304" tooltip="MULGRAVE COUNTRY CLUB" display="http://www.vcgr.vic.gov.au/CA2570C30016EEF3/wListOfVenues/3291112E7957627BCA257C690082F81B?Open" xr:uid="{00000000-0004-0000-0200-00002F010000}"/>
    <hyperlink ref="B330" r:id="rId305" tooltip="MYRTLEFORD SAVOY SPORTING CLUB" display="http://www.vcgr.vic.gov.au/CA2570C30016EEF3/wListOfVenues/489DF170DD958A45CA257C690082F85E?Open" xr:uid="{00000000-0004-0000-0200-000030010000}"/>
    <hyperlink ref="B331" r:id="rId306" tooltip="NAGAMBIE LAKES ENTERTAINMENT CENTRE" display="http://www.vcgr.vic.gov.au/CA2570C30016EEF3/wListOfVenues/35FA1E0A15D9EE8DCA257C690082F96F?Open" xr:uid="{00000000-0004-0000-0200-000031010000}"/>
    <hyperlink ref="B333" r:id="rId307" tooltip="NEWMARKET TAVERN" display="http://www.vcgr.vic.gov.au/CA2570C30016EEF3/wListOfVenues/D2EEF1290EE198E7CA257C690082F92B?Open" xr:uid="{00000000-0004-0000-0200-000032010000}"/>
    <hyperlink ref="B334" r:id="rId308" tooltip="NOBLE PARK FOOTBALL SOCIAL CLUB" display="http://www.vcgr.vic.gov.au/CA2570C30016EEF3/wListOfVenues/308EB3F7A8146565CA257C690082F810?Open" xr:uid="{00000000-0004-0000-0200-000033010000}"/>
    <hyperlink ref="B335" r:id="rId309" tooltip="NOBLE PARK RSL" display="http://www.vcgr.vic.gov.au/CA2570C30016EEF3/wListOfVenues/CC5ED128C500A69ACA257C690082F97D?Open" xr:uid="{00000000-0004-0000-0200-000034010000}"/>
    <hyperlink ref="B336" r:id="rId310" tooltip="NORLANE HOTEL" display="http://www.vcgr.vic.gov.au/CA2570C30016EEF3/wListOfVenues/61A2812EECCB28B1CA257C690082F863?Open" xr:uid="{00000000-0004-0000-0200-000035010000}"/>
    <hyperlink ref="B337" r:id="rId311" tooltip="NORTH BALLARAT SPORTS CLUB" display="http://www.vcgr.vic.gov.au/CA2570C30016EEF3/wListOfVenues/D7EB1F004A6F9A49CA257C690082F80E?Open" xr:uid="{00000000-0004-0000-0200-000036010000}"/>
    <hyperlink ref="B338" r:id="rId312" tooltip="NORTHCOTE PARK FOOTBALL CLUB" display="http://www.vcgr.vic.gov.au/CA2570C30016EEF3/wListOfVenues/CA074CAAD1499D69CA257C690082F80A?Open" xr:uid="{00000000-0004-0000-0200-000037010000}"/>
    <hyperlink ref="B339" r:id="rId313" tooltip="NORTHCOTE RSL" display="http://www.vcgr.vic.gov.au/CA2570C30016EEF3/wListOfVenues/6824ADF500D5F9FACA257C690082F9FC?Open" xr:uid="{00000000-0004-0000-0200-000038010000}"/>
    <hyperlink ref="B340" r:id="rId314" tooltip="NUMURKAH GOLF &amp; BOWLS CLUB" display="http://www.vcgr.vic.gov.au/CA2570C30016EEF3/wListOfVenues/B7C4AB996ED15D64CA257C690082F8BA?Open" xr:uid="{00000000-0004-0000-0200-000039010000}"/>
    <hyperlink ref="B332" r:id="rId315" tooltip="New Bay Hotel" display="http://www.vcgr.vic.gov.au/CA2570C30016EEF3/wListOfVenues/46945134F4A4FE6ECA257C690082F99A?Open" xr:uid="{00000000-0004-0000-0200-00003A010000}"/>
    <hyperlink ref="B341" r:id="rId316" tooltip="OAKLEIGH JUNCTION HOTEL" display="http://www.vcgr.vic.gov.au/CA2570C30016EEF3/wListOfVenues/37C7A6CD52D36624CA257C690082F98C?Open" xr:uid="{00000000-0004-0000-0200-00003B010000}"/>
    <hyperlink ref="B342" r:id="rId317" tooltip="OASIS OZ HOTEL" display="http://www.vcgr.vic.gov.au/CA2570C30016EEF3/wListOfVenues/4238F839CD1865CDCA257C690082F9E0?Open" xr:uid="{00000000-0004-0000-0200-00003C010000}"/>
    <hyperlink ref="B343" r:id="rId318" tooltip="OCEAN GROVE BOWLING CLUB" display="http://www.vcgr.vic.gov.au/CA2570C30016EEF3/wListOfVenues/87CAAF2BB9EBDB49CA257C690082F882?Open" xr:uid="{00000000-0004-0000-0200-00003D010000}"/>
    <hyperlink ref="B344" r:id="rId319" tooltip="OLD ENGLAND HOTEL" display="http://www.vcgr.vic.gov.au/CA2570C30016EEF3/wListOfVenues/8074FEFEB28075C5CA257C690082F826?Open" xr:uid="{00000000-0004-0000-0200-00003E010000}"/>
    <hyperlink ref="B346" r:id="rId320" tooltip="OLINDA CREEK HOTEL" display="http://www.vcgr.vic.gov.au/CA2570C30016EEF3/wListOfVenues/AA566860CFACDB2FCA257C690082F960?Open" xr:uid="{00000000-0004-0000-0200-00003F010000}"/>
    <hyperlink ref="B347" r:id="rId321" tooltip="OLIVE TREE HOTEL" display="http://www.vcgr.vic.gov.au/CA2570C30016EEF3/wListOfVenues/521824BF22B44E43CA257C690082F8AA?Open" xr:uid="{00000000-0004-0000-0200-000040010000}"/>
    <hyperlink ref="B348" r:id="rId322" tooltip="OLYMPIC HOTEL" display="http://www.vcgr.vic.gov.au/CA2570C30016EEF3/wListOfVenues/B47CF0A68CBA85ECCA257C690082F91B?Open" xr:uid="{00000000-0004-0000-0200-000041010000}"/>
    <hyperlink ref="B350" r:id="rId323" tooltip="OUYEN CLUB" display="http://www.vcgr.vic.gov.au/CA2570C30016EEF3/wListOfVenues/B2B63CF7C3C690C8CA257C690082F8F3?Open" xr:uid="{00000000-0004-0000-0200-000042010000}"/>
    <hyperlink ref="B351" r:id="rId324" tooltip="PAKENHAM HOTEL" display="http://www.vcgr.vic.gov.au/CA2570C30016EEF3/wListOfVenues/1A0E287E6B879021CA257C690082F807?Open" xr:uid="{00000000-0004-0000-0200-000043010000}"/>
    <hyperlink ref="B352" r:id="rId325" tooltip="PAKENHAM INN" display="http://www.vcgr.vic.gov.au/CA2570C30016EEF3/wListOfVenues/81D90D1C16518A3ACA257C690082FA02?Open" xr:uid="{00000000-0004-0000-0200-000044010000}"/>
    <hyperlink ref="B353" r:id="rId326" tooltip="PAKENHAM SPORTS CLUB" display="http://www.vcgr.vic.gov.au/CA2570C30016EEF3/wListOfVenues/D9157ACBAE62DB52CA257C690082F9AC?Open" xr:uid="{00000000-0004-0000-0200-000045010000}"/>
    <hyperlink ref="B354" r:id="rId327" tooltip="PALACE HOTEL" display="http://www.vcgr.vic.gov.au/CA2570C30016EEF3/wListOfVenues/03B06897B9CF88EDCA257C690082F98A?Open" xr:uid="{00000000-0004-0000-0200-000046010000}"/>
    <hyperlink ref="B355" r:id="rId328" tooltip="PARKVIEW HOTEL" display="http://www.vcgr.vic.gov.au/CA2570C30016EEF3/wListOfVenues/A76F3D7F02423FF5CA257C690082F9F0?Open" xr:uid="{00000000-0004-0000-0200-000047010000}"/>
    <hyperlink ref="B356" r:id="rId329" tooltip="PARKVIEW HOTEL" display="http://www.vcgr.vic.gov.au/CA2570C30016EEF3/wListOfVenues/F1E26352B1BA5F09CA257C690082F9E2?Open" xr:uid="{00000000-0004-0000-0200-000048010000}"/>
    <hyperlink ref="B357" r:id="rId330" tooltip="PASCOE VALE RSL" display="http://www.vcgr.vic.gov.au/CA2570C30016EEF3/wListOfVenues/6DAEA8896AA41F23CA257C690082F906?Open" xr:uid="{00000000-0004-0000-0200-000049010000}"/>
    <hyperlink ref="B358" r:id="rId331" tooltip="PASCOE VALE TAVERNER HOTEL" display="http://www.vcgr.vic.gov.au/CA2570C30016EEF3/wListOfVenues/7ADDC9D6B7D8A1B7CA257C690082F9CB?Open" xr:uid="{00000000-0004-0000-0200-00004A010000}"/>
    <hyperlink ref="B359" r:id="rId332" tooltip="PENINSULA CLUB" display="http://www.vcgr.vic.gov.au/CA2570C30016EEF3/wListOfVenues/34200609826910F2CA257C690082F99C?Open" xr:uid="{00000000-0004-0000-0200-00004B010000}"/>
    <hyperlink ref="B360" r:id="rId333" tooltip="PENINSULA HOTEL MOTEL" display="http://www.vcgr.vic.gov.au/CA2570C30016EEF3/wListOfVenues/F611B4B9150BD644CA257C690082F87C?Open" xr:uid="{00000000-0004-0000-0200-00004C010000}"/>
    <hyperlink ref="B361" r:id="rId334" tooltip="PEPPERMILL HOTEL" display="http://www.vcgr.vic.gov.au/CA2570C30016EEF3/wListOfVenues/27E91E98668496FBCA257C690082F9E8?Open" xr:uid="{00000000-0004-0000-0200-00004D010000}"/>
    <hyperlink ref="B362" r:id="rId335" tooltip="PHILLIP ISLAND GOLF CLUB" display="http://www.vcgr.vic.gov.au/CA2570C30016EEF3/wListOfVenues/26E81857889B9627CA257C690082F852?Open" xr:uid="{00000000-0004-0000-0200-00004E010000}"/>
    <hyperlink ref="B363" r:id="rId336" tooltip="PHILLIP ISLAND RSL" display="http://www.vcgr.vic.gov.au/CA2570C30016EEF3/wListOfVenues/B56DD41461E56038CA257C690082F94E?Open" xr:uid="{00000000-0004-0000-0200-00004F010000}"/>
    <hyperlink ref="B364" r:id="rId337" tooltip="PHOENIX  HOTEL" display="http://www.vcgr.vic.gov.au/CA2570C30016EEF3/wListOfVenues/2DFABBEFED66D517CA257C690082F95A?Open" xr:uid="{00000000-0004-0000-0200-000050010000}"/>
    <hyperlink ref="B366" r:id="rId338" tooltip="PIER HOTEL" display="http://www.vcgr.vic.gov.au/CA2570C30016EEF3/wListOfVenues/FDD9BD238FBEEC27CA257C690082F844?Open" xr:uid="{00000000-0004-0000-0200-000051010000}"/>
    <hyperlink ref="B367" r:id="rId339" tooltip="PINSENT HOTEL" display="http://www.vcgr.vic.gov.au/CA2570C30016EEF3/wListOfVenues/FAAAE3C4D01800E5CA257C690082F837?Open" xr:uid="{00000000-0004-0000-0200-000052010000}"/>
    <hyperlink ref="B368" r:id="rId340" tooltip="PLAYERS HOTEL" display="http://www.vcgr.vic.gov.au/CA2570C30016EEF3/wListOfVenues/7681C1FD42C0F7E9CA257C690082F98E?Open" xr:uid="{00000000-0004-0000-0200-000053010000}"/>
    <hyperlink ref="B369" r:id="rId341" tooltip="PLAYERS ON LYGON" display="http://www.vcgr.vic.gov.au/CA2570C30016EEF3/wListOfVenues/B303293F64091C69CA257C690082F8CE?Open" xr:uid="{00000000-0004-0000-0200-000054010000}"/>
    <hyperlink ref="B370" r:id="rId342" tooltip="PLOUGH HOTEL" display="http://www.vcgr.vic.gov.au/CA2570C30016EEF3/wListOfVenues/466FE2DDACE21DDBCA257C690082F8A9?Open" xr:uid="{00000000-0004-0000-0200-000055010000}"/>
    <hyperlink ref="B371" r:id="rId343" tooltip="POLISH COMMUNITY ASSOC IN GEELONG" display="http://www.vcgr.vic.gov.au/CA2570C30016EEF3/wListOfVenues/A43A3B7F600A3C9FCA257C690082F97F?Open" xr:uid="{00000000-0004-0000-0200-000056010000}"/>
    <hyperlink ref="B372" r:id="rId344" tooltip="PORTARLINGTON GOLF CLUB" display="http://www.vcgr.vic.gov.au/CA2570C30016EEF3/wListOfVenues/3FE3CF013E1F692ECA257C690082F8BF?Open" xr:uid="{00000000-0004-0000-0200-000057010000}"/>
    <hyperlink ref="B373" r:id="rId345" tooltip="PORTLAND FOOTBALL NETBALL CRICKET CLUB" display="http://www.vcgr.vic.gov.au/CA2570C30016EEF3/wListOfVenues/02BF465ED435CE9DCA257C690082F93B?Open" xr:uid="{00000000-0004-0000-0200-000058010000}"/>
    <hyperlink ref="B374" r:id="rId346" tooltip="PORTLAND RSL MEMORIAL BOWLING CLUB" display="http://www.vcgr.vic.gov.au/CA2570C30016EEF3/wListOfVenues/6E2766200B6E6D6ECA257C690082F856?Open" xr:uid="{00000000-0004-0000-0200-000059010000}"/>
    <hyperlink ref="B375" r:id="rId347" tooltip="POWELL HOTEL" display="http://www.vcgr.vic.gov.au/CA2570C30016EEF3/wListOfVenues/3F1228D71E93972FCA257C690082F986?Open" xr:uid="{00000000-0004-0000-0200-00005A010000}"/>
    <hyperlink ref="B376" r:id="rId348" tooltip="PRAHRAN FOOTBALL SOCIAL CLUB" display="http://www.vcgr.vic.gov.au/CA2570C30016EEF3/wListOfVenues/54F3412FBE062378CA257C690082F7FD?Open" xr:uid="{00000000-0004-0000-0200-00005B010000}"/>
    <hyperlink ref="B377" r:id="rId349" tooltip="PRESTON HOTEL" display="http://www.vcgr.vic.gov.au/CA2570C30016EEF3/wListOfVenues/C499C527B5BFFED7CA257C690082F988?Open" xr:uid="{00000000-0004-0000-0200-00005C010000}"/>
    <hyperlink ref="B378" r:id="rId350" tooltip="PRINCE MARK HOTEL" display="http://www.vcgr.vic.gov.au/CA2570C30016EEF3/wListOfVenues/4EB8BF241B1C05CCCA257C690082F868?Open" xr:uid="{00000000-0004-0000-0200-00005D010000}"/>
    <hyperlink ref="B380" r:id="rId351" tooltip="PUNTERS PALACE" display="http://www.vcgr.vic.gov.au/CA2570C30016EEF3/wListOfVenues/33AB79A206854A15CA257C690082F8C4?Open" xr:uid="{00000000-0004-0000-0200-00005E010000}"/>
    <hyperlink ref="B381" r:id="rId352" tooltip="QUEENSCLIFF BOWLING TENNIS AND CROQUET CLUB" display="http://www.vcgr.vic.gov.au/CA2570C30016EEF3/wListOfVenues/DAF8C6EFEBB432DCCA257C690082F90E?Open" xr:uid="{00000000-0004-0000-0200-00005F010000}"/>
    <hyperlink ref="B382" r:id="rId353" tooltip="RACECOURSE HOTEL (MALVERN EAST)" display="http://www.vcgr.vic.gov.au/CA2570C30016EEF3/wListOfVenues/A22CF5B2718ADAE6CA257C690082F9F5?Open" xr:uid="{00000000-0004-0000-0200-000060010000}"/>
    <hyperlink ref="B383" r:id="rId354" tooltip="RACECOURSE HOTEL (WERRIBEE)" display="http://www.vcgr.vic.gov.au/CA2570C30016EEF3/wListOfVenues/EA996ED498DEF768CA257C690082F9B5?Open" xr:uid="{00000000-0004-0000-0200-000061010000}"/>
    <hyperlink ref="B384" r:id="rId355" tooltip="RAFFERTY" display="http://www.vcgr.vic.gov.au/CA2570C30016EEF3/wListOfVenues/BA97FDE455EF3DD6CA257C690082F9ED?Open" xr:uid="{00000000-0004-0000-0200-000062010000}"/>
    <hyperlink ref="B385" r:id="rId356" tooltip="RAILWAY CLUB HOTEL" display="http://www.vcgr.vic.gov.au/CA2570C30016EEF3/wListOfVenues/CFECFC7987FDEC64CA257C690082F9D7?Open" xr:uid="{00000000-0004-0000-0200-000063010000}"/>
    <hyperlink ref="B386" r:id="rId357" tooltip="RED CLIFFS CLUB" display="http://www.vcgr.vic.gov.au/CA2570C30016EEF3/wListOfVenues/59A8AAA3D2D96416CA257C690082F855?Open" xr:uid="{00000000-0004-0000-0200-000064010000}"/>
    <hyperlink ref="B387" r:id="rId358" tooltip="RED LION HOTEL" display="http://www.vcgr.vic.gov.au/CA2570C30016EEF3/wListOfVenues/2321C7467CD05D10CA257C690082F7FF?Open" xr:uid="{00000000-0004-0000-0200-000065010000}"/>
    <hyperlink ref="B388" r:id="rId359" tooltip="REGGIO CALABRIA CLUB" display="http://www.vcgr.vic.gov.au/CA2570C30016EEF3/wListOfVenues/59EB860D06C0443CCA257C690082F8BC?Open" xr:uid="{00000000-0004-0000-0200-000066010000}"/>
    <hyperlink ref="B389" r:id="rId360" tooltip="RESERVOIR BOWLING CLUB" display="http://www.vcgr.vic.gov.au/CA2570C30016EEF3/wListOfVenues/26CE177789BB9577CA257C690082F90D?Open" xr:uid="{00000000-0004-0000-0200-000067010000}"/>
    <hyperlink ref="B390" r:id="rId361" tooltip="RESERVOIR RSL" display="http://www.vcgr.vic.gov.au/CA2570C30016EEF3/wListOfVenues/7CE130D148FE2969CA257C690082F8FC?Open" xr:uid="{00000000-0004-0000-0200-000068010000}"/>
    <hyperlink ref="B393" r:id="rId362" tooltip="RICHMOND TAVERN" display="http://www.vcgr.vic.gov.au/CA2570C30016EEF3/wListOfVenues/3EE0039574B022CCCA257C690082F9DF?Open" xr:uid="{00000000-0004-0000-0200-000069010000}"/>
    <hyperlink ref="B394" r:id="rId363" tooltip="RIFLE CLUB HOTEL" display="http://www.vcgr.vic.gov.au/CA2570C30016EEF3/wListOfVenues/8BED124B5CAA12EECA257C690082F917?Open" xr:uid="{00000000-0004-0000-0200-00006A010000}"/>
    <hyperlink ref="B395" r:id="rId364" tooltip="RINGWOOD RSL" display="http://www.vcgr.vic.gov.au/CA2570C30016EEF3/wListOfVenues/B066B9CF8AE2F6AACA257C690082F8CA?Open" xr:uid="{00000000-0004-0000-0200-00006B010000}"/>
    <hyperlink ref="B396" r:id="rId365" tooltip="RISING SUN HOTEL" display="http://www.vcgr.vic.gov.au/CA2570C30016EEF3/wListOfVenues/F4547C53A5C4F41BCA257C690082F895?Open" xr:uid="{00000000-0004-0000-0200-00006C010000}"/>
    <hyperlink ref="B397" r:id="rId366" tooltip="RIVERSDALE HOTEL" display="http://www.vcgr.vic.gov.au/CA2570C30016EEF3/wListOfVenues/4EA2F9F5FD0FDB7ACA257C690082F944?Open" xr:uid="{00000000-0004-0000-0200-00006D010000}"/>
    <hyperlink ref="B398" r:id="rId367" tooltip="RIVIERA HOTEL" display="http://www.vcgr.vic.gov.au/CA2570C30016EEF3/wListOfVenues/7B362BDA22F471D5CA257C690082F812?Open" xr:uid="{00000000-0004-0000-0200-00006E010000}"/>
    <hyperlink ref="B399" r:id="rId368" tooltip="ROBIN HOOD HOTEL" display="http://www.vcgr.vic.gov.au/CA2570C30016EEF3/wListOfVenues/3F857A2595710715CA257C690082F9BB?Open" xr:uid="{00000000-0004-0000-0200-00006F010000}"/>
    <hyperlink ref="B400" r:id="rId369" tooltip="ROBINVALE GOLF CLUB" display="http://www.vcgr.vic.gov.au/CA2570C30016EEF3/wListOfVenues/646AF535F47A40A2CA257C690082F8D9?Open" xr:uid="{00000000-0004-0000-0200-000070010000}"/>
    <hyperlink ref="B401" r:id="rId370" tooltip="ROSE SHAMROCK HOTEL" display="http://www.vcgr.vic.gov.au/CA2570C30016EEF3/wListOfVenues/D041AF9AFCB210A4CA257C690082F8A8?Open" xr:uid="{00000000-0004-0000-0200-000071010000}"/>
    <hyperlink ref="B402" r:id="rId371" tooltip="ROSEBUD COUNTRY CLUB" display="http://www.vcgr.vic.gov.au/CA2570C30016EEF3/wListOfVenues/B525E9E5E3616E63CA257C690082F804?Open" xr:uid="{00000000-0004-0000-0200-000072010000}"/>
    <hyperlink ref="B403" r:id="rId372" tooltip="ROSEBUD HOTEL" display="http://www.vcgr.vic.gov.au/CA2570C30016EEF3/wListOfVenues/CADA6A1609776893CA257C690082F858?Open" xr:uid="{00000000-0004-0000-0200-000073010000}"/>
    <hyperlink ref="B404" r:id="rId373" tooltip="ROSEBUD RSL" display="http://www.vcgr.vic.gov.au/CA2570C30016EEF3/wListOfVenues/890E62CD90BF1713CA257C690082F847?Open" xr:uid="{00000000-0004-0000-0200-000074010000}"/>
    <hyperlink ref="B405" r:id="rId374" tooltip="ROSSTOWN HOTEL" display="http://www.vcgr.vic.gov.au/CA2570C30016EEF3/wListOfVenues/A7663015A1D5EB37CA257C690082F8C5?Open" xr:uid="{00000000-0004-0000-0200-000075010000}"/>
    <hyperlink ref="B406" r:id="rId375" tooltip="ROXBURGH PARK HOTEL" display="http://www.vcgr.vic.gov.au/CA2570C30016EEF3/wListOfVenues/AFAC5FDBCA45ACA8CA257C690082F8BE?Open" xr:uid="{00000000-0004-0000-0200-000076010000}"/>
    <hyperlink ref="B407" r:id="rId376" tooltip="ROYAL EXCHANGE HOTEL" display="http://www.vcgr.vic.gov.au/CA2570C30016EEF3/wListOfVenues/29D354D301AC5B93CA257C690082F833?Open" xr:uid="{00000000-0004-0000-0200-000077010000}"/>
    <hyperlink ref="B408" r:id="rId377" tooltip="ROYAL HOTEL (BENALLA)" display="http://www.vcgr.vic.gov.au/CA2570C30016EEF3/wListOfVenues/54090F1D9F3324ADCA257C690082F85C?Open" xr:uid="{00000000-0004-0000-0200-000078010000}"/>
    <hyperlink ref="B409" r:id="rId378" tooltip="ROYAL HOTEL (DAYLESFORD)" display="http://www.vcgr.vic.gov.au/CA2570C30016EEF3/wListOfVenues/F9DAFC4A18116795CA257C690082F8C7?Open" xr:uid="{00000000-0004-0000-0200-000079010000}"/>
    <hyperlink ref="B410" r:id="rId379" tooltip="ROYAL HOTEL (ESSENDON)" display="http://www.vcgr.vic.gov.au/CA2570C30016EEF3/wListOfVenues/A918570FFB734C2CCA257C690082F8F1?Open" xr:uid="{00000000-0004-0000-0200-00007A010000}"/>
    <hyperlink ref="B411" r:id="rId380" tooltip="ROYAL HOTEL (HORSHAM)" display="http://www.vcgr.vic.gov.au/CA2570C30016EEF3/wListOfVenues/C1B9EDB76430D1A7CA257C690082FA03?Open" xr:uid="{00000000-0004-0000-0200-00007B010000}"/>
    <hyperlink ref="B412" r:id="rId381" tooltip="ROYAL HOTEL (SUNBURY)" display="http://www.vcgr.vic.gov.au/CA2570C30016EEF3/wListOfVenues/CB1F64F24326F92ECA257C690082F865?Open" xr:uid="{00000000-0004-0000-0200-00007C010000}"/>
    <hyperlink ref="B414" r:id="rId382" tooltip="ROYAL OAK HOTEL" display="http://www.vcgr.vic.gov.au/CA2570C30016EEF3/wListOfVenues/CCB0494820380937CA257C690082F9F9?Open" xr:uid="{00000000-0004-0000-0200-00007D010000}"/>
    <hyperlink ref="B415" r:id="rId383" tooltip="ROYAL OAK RICHMOND" display="http://www.vcgr.vic.gov.au/CA2570C30016EEF3/wListOfVenues/FD4F17C845534016CA257C690082F9A2?Open" xr:uid="{00000000-0004-0000-0200-00007E010000}"/>
    <hyperlink ref="B416" r:id="rId384" tooltip="RUBICON HOTEL" display="http://www.vcgr.vic.gov.au/CA2570C30016EEF3/wListOfVenues/76D5AEF624E37494CA257C690082FA04?Open" xr:uid="{00000000-0004-0000-0200-00007F010000}"/>
    <hyperlink ref="B417" r:id="rId385" tooltip="RUBICON HOTEL" display="http://www.vcgr.vic.gov.au/CA2570C30016EEF3/wListOfVenues/B51B2161CA1D90B5CA257C690082F9EA?Open" xr:uid="{00000000-0004-0000-0200-000080010000}"/>
    <hyperlink ref="B418" r:id="rId386" tooltip="RYE HOTEL" display="http://www.vcgr.vic.gov.au/CA2570C30016EEF3/wListOfVenues/2D9E981D7E792FABCA257C690082F809?Open" xr:uid="{00000000-0004-0000-0200-000081010000}"/>
    <hyperlink ref="B419" r:id="rId387" tooltip="RYE RSL CLUB" display="http://www.vcgr.vic.gov.au/CA2570C30016EEF3/wListOfVenues/F1FEAC97B69396BDCA257C690082F897?Open" xr:uid="{00000000-0004-0000-0200-000082010000}"/>
    <hyperlink ref="B420" r:id="rId388" tooltip="SALE &amp; DISTRICT GREYHOUND RACING CLUB" display="http://www.vcgr.vic.gov.au/CA2570C30016EEF3/wListOfVenues/6471927C4ACA0B82CA257C690082F808?Open" xr:uid="{00000000-0004-0000-0200-000083010000}"/>
    <hyperlink ref="B421" r:id="rId389" tooltip="SALE COMMUNITY BOWLS CLUB" display="http://www.vcgr.vic.gov.au/CA2570C30016EEF3/wListOfVenues/9D1B28C946B54E7DCA257C690082F9FB?Open" xr:uid="{00000000-0004-0000-0200-000084010000}"/>
    <hyperlink ref="B423" r:id="rId390" tooltip="SANCTUARY LAKES HOTEL" display="http://www.vcgr.vic.gov.au/CA2570C30016EEF3/wListOfVenues/00F5927CA4A730E6CA257C690082F9D3?Open" xr:uid="{00000000-0004-0000-0200-000085010000}"/>
    <hyperlink ref="B424" r:id="rId391" tooltip="SANDBELT CLUB HOTEL" display="http://www.vcgr.vic.gov.au/CA2570C30016EEF3/wListOfVenues/EAEDFF4132969262CA257C690082F7F7?Open" xr:uid="{00000000-0004-0000-0200-000086010000}"/>
    <hyperlink ref="B425" r:id="rId392" tooltip="SANDOWN PARK HOTEL" display="http://www.vcgr.vic.gov.au/CA2570C30016EEF3/wListOfVenues/520828B67E484B64CA257C690082F801?Open" xr:uid="{00000000-0004-0000-0200-000087010000}"/>
    <hyperlink ref="B426" r:id="rId393" tooltip="SANDRINGHAM HOTEL" display="http://www.vcgr.vic.gov.au/CA2570C30016EEF3/wListOfVenues/163261597D474F7FCA257C690082F864?Open" xr:uid="{00000000-0004-0000-0200-000088010000}"/>
    <hyperlink ref="B427" r:id="rId394" tooltip="SANDS TAVERNER" display="http://www.vcgr.vic.gov.au/CA2570C30016EEF3/wListOfVenues/A94B36B164CFAC4ACA257C690082F9C6?Open" xr:uid="{00000000-0004-0000-0200-000089010000}"/>
    <hyperlink ref="B428" r:id="rId395" tooltip="SEAFORD RSL" display="http://www.vcgr.vic.gov.au/CA2570C30016EEF3/wListOfVenues/128D14D431569D53CA257C690082F8E0?Open" xr:uid="{00000000-0004-0000-0200-00008A010000}"/>
    <hyperlink ref="B429" r:id="rId396" tooltip="SEAFORD TAVERNER" display="http://www.vcgr.vic.gov.au/CA2570C30016EEF3/wListOfVenues/232FE8E73ABB43EACA257C690082F9AA?Open" xr:uid="{00000000-0004-0000-0200-00008B010000}"/>
    <hyperlink ref="B430" r:id="rId397" tooltip="SEAGULLS NEST" display="http://www.vcgr.vic.gov.au/CA2570C30016EEF3/wListOfVenues/3CC6B3A12AE033DBCA257C690082F8FA?Open" xr:uid="{00000000-0004-0000-0200-00008C010000}"/>
    <hyperlink ref="B431" r:id="rId398" tooltip="SEBASTOPOL BOWLING CLUB" display="http://www.vcgr.vic.gov.au/CA2570C30016EEF3/wListOfVenues/5D45CF118FFB01AACA257C690082F91F?Open" xr:uid="{00000000-0004-0000-0200-00008D010000}"/>
    <hyperlink ref="B433" r:id="rId399" tooltip="SEYMOUR CLUB" display="http://www.vcgr.vic.gov.au/CA2570C30016EEF3/wListOfVenues/C230AA296EA16CA1CA257C690082F973?Open" xr:uid="{00000000-0004-0000-0200-00008E010000}"/>
    <hyperlink ref="B434" r:id="rId400" tooltip="SHAMROCK HOTEL" display="http://www.vcgr.vic.gov.au/CA2570C30016EEF3/wListOfVenues/6AF6BBD92CA7BBF4CA257C690082F907?Open" xr:uid="{00000000-0004-0000-0200-00008F010000}"/>
    <hyperlink ref="B435" r:id="rId401" tooltip="SHANGHAI CLUB" display="http://www.vcgr.vic.gov.au/CA2570C30016EEF3/wListOfVenues/83B8DC38E9A85D55CA257C690082F802?Open" xr:uid="{00000000-0004-0000-0200-000090010000}"/>
    <hyperlink ref="B436" r:id="rId402" tooltip="SHELL CLUB" display="http://www.vcgr.vic.gov.au/CA2570C30016EEF3/wListOfVenues/69524EE31D6F2C5BCA257C690082F81A?Open" xr:uid="{00000000-0004-0000-0200-000091010000}"/>
    <hyperlink ref="B437" r:id="rId403" tooltip="SHEPPARTON CLUB" display="http://www.vcgr.vic.gov.au/CA2570C30016EEF3/wListOfVenues/7B2A52C81F5DBB0ACA257C690082F83A?Open" xr:uid="{00000000-0004-0000-0200-000092010000}"/>
    <hyperlink ref="B438" r:id="rId404" tooltip="SHEPPARTON RSL" display="http://www.vcgr.vic.gov.au/CA2570C30016EEF3/wListOfVenues/657F92AE8FBF8D04CA257C690082F831?Open" xr:uid="{00000000-0004-0000-0200-000093010000}"/>
    <hyperlink ref="B439" r:id="rId405" tooltip="SHERBOURNE TERRACE" display="http://www.vcgr.vic.gov.au/CA2570C30016EEF3/wListOfVenues/D806B30D56C7B281CA257C690082F891?Open" xr:uid="{00000000-0004-0000-0200-000094010000}"/>
    <hyperlink ref="B440" r:id="rId406" tooltip="SHOPPINGTOWN HOTEL" display="http://www.vcgr.vic.gov.au/CA2570C30016EEF3/wListOfVenues/AC70649160E3FB78CA257C690082F989?Open" xr:uid="{00000000-0004-0000-0200-000095010000}"/>
    <hyperlink ref="B441" r:id="rId407" tooltip="SIR HENRY BARKLY HOTEL" display="http://www.vcgr.vic.gov.au/CA2570C30016EEF3/wListOfVenues/C66369CA06D0CB29CA257C690082F848?Open" xr:uid="{00000000-0004-0000-0200-000096010000}"/>
    <hyperlink ref="B442" r:id="rId408" tooltip="SKYWAYS TAVERNER" display="http://www.vcgr.vic.gov.au/CA2570C30016EEF3/wListOfVenues/7B321CED4C9B61FBCA257C690082F9C3?Open" xr:uid="{00000000-0004-0000-0200-000097010000}"/>
    <hyperlink ref="B443" r:id="rId409" tooltip="SOMERVILLE HOTEL" display="http://www.vcgr.vic.gov.au/CA2570C30016EEF3/wListOfVenues/127635F4056B5644CA257C690082F91D?Open" xr:uid="{00000000-0004-0000-0200-000098010000}"/>
    <hyperlink ref="B444" r:id="rId410" tooltip="SOUTH OAKLEIGH CLUB" display="http://www.vcgr.vic.gov.au/CA2570C30016EEF3/wListOfVenues/D7A3596F21251221CA257C690082F817?Open" xr:uid="{00000000-0004-0000-0200-000099010000}"/>
    <hyperlink ref="B445" r:id="rId411" tooltip="SPHINX ENTERTAINMENT CENTRE" display="http://www.vcgr.vic.gov.au/CA2570C30016EEF3/wListOfVenues/5797B3774B0EC9D4CA257C690082F85A?Open" xr:uid="{00000000-0004-0000-0200-00009A010000}"/>
    <hyperlink ref="B446" r:id="rId412" tooltip="SPORTING LEGENDS CLUB" display="http://www.vcgr.vic.gov.au/CA2570C30016EEF3/wListOfVenues/6626BC05C0A5B5AFCA257C690082F929?Open" xr:uid="{00000000-0004-0000-0200-00009B010000}"/>
    <hyperlink ref="B447" r:id="rId413" tooltip="SPORTSPARK GAMING AND ENTERTAINMENT CENTRE" display="http://www.vcgr.vic.gov.au/CA2570C30016EEF3/wListOfVenues/11D58ED9121EEE18CA257C690082F819?Open" xr:uid="{00000000-0004-0000-0200-00009C010000}"/>
    <hyperlink ref="B448" r:id="rId414" tooltip="SPRINGVALE RSL CLUB" display="http://www.vcgr.vic.gov.au/CA2570C30016EEF3/wListOfVenues/37EE13F725A8CF12CA257C690082F972?Open" xr:uid="{00000000-0004-0000-0200-00009D010000}"/>
    <hyperlink ref="B449" r:id="rId415" tooltip="SS &amp; A  WODONGA" display="http://www.vcgr.vic.gov.au/CA2570C30016EEF3/wListOfVenues/9B4BD2F57FF1E3C1CA257C690082F94B?Open" xr:uid="{00000000-0004-0000-0200-00009E010000}"/>
    <hyperlink ref="B450" r:id="rId416" tooltip="ST ALBANS HOTEL" display="http://www.vcgr.vic.gov.au/CA2570C30016EEF3/wListOfVenues/F2A42D56A6407C77CA257C690082F978?Open" xr:uid="{00000000-0004-0000-0200-00009F010000}"/>
    <hyperlink ref="B451" r:id="rId417" tooltip="ST ALBANS SPORTS CLUB" display="http://www.vcgr.vic.gov.au/CA2570C30016EEF3/wListOfVenues/183BA7DE4660E5EBCA257C690082F945?Open" xr:uid="{00000000-0004-0000-0200-0000A0010000}"/>
    <hyperlink ref="B452" r:id="rId418" tooltip="ST ARNAUD SPORTING CLUB" display="http://www.vcgr.vic.gov.au/CA2570C30016EEF3/wListOfVenues/1A0A955DF0009C65CA257C690082F8E3?Open" xr:uid="{00000000-0004-0000-0200-0000A1010000}"/>
    <hyperlink ref="B453" r:id="rId419" tooltip="ST GEORGE WORKERS CLUB" display="http://www.vcgr.vic.gov.au/CA2570C30016EEF3/wListOfVenues/C5BD68FC882FB31CCA257C690082F910?Open" xr:uid="{00000000-0004-0000-0200-0000A2010000}"/>
    <hyperlink ref="B454" r:id="rId420" tooltip="ST IVES BIERE CAFE" display="http://www.vcgr.vic.gov.au/CA2570C30016EEF3/wListOfVenues/2ED3DA0881387558CA257C690082F9B9?Open" xr:uid="{00000000-0004-0000-0200-0000A3010000}"/>
    <hyperlink ref="B455" r:id="rId421" tooltip="ST KILDA ARMY &amp; NAVY CLUB" display="http://www.vcgr.vic.gov.au/CA2570C30016EEF3/wListOfVenues/4AC9ECD87231FEBDCA257C690082F8B2?Open" xr:uid="{00000000-0004-0000-0200-0000A4010000}"/>
    <hyperlink ref="B456" r:id="rId422" tooltip="ST KILDA FOOTBALL SOCIAL CLUB" display="http://www.vcgr.vic.gov.au/CA2570C30016EEF3/wListOfVenues/5C5994061A250277CA257C690082F7EC?Open" xr:uid="{00000000-0004-0000-0200-0000A5010000}"/>
    <hyperlink ref="B457" r:id="rId423" tooltip="STAMFORD HOTEL" display="http://www.vcgr.vic.gov.au/CA2570C30016EEF3/wListOfVenues/D588567E2FD02AEACA257C690082F8A1?Open" xr:uid="{00000000-0004-0000-0200-0000A6010000}"/>
    <hyperlink ref="B458" r:id="rId424" tooltip="STAR HOTEL (BRIGHT)" display="http://www.vcgr.vic.gov.au/CA2570C30016EEF3/wListOfVenues/440EC0B046440F45CA257C690082F99F?Open" xr:uid="{00000000-0004-0000-0200-0000A7010000}"/>
    <hyperlink ref="B459" r:id="rId425" tooltip="STAR HOTEL (SALE)" display="http://www.vcgr.vic.gov.au/CA2570C30016EEF3/wListOfVenues/329153A5EDC17389CA257C690082F99E?Open" xr:uid="{00000000-0004-0000-0200-0000A8010000}"/>
    <hyperlink ref="B460" r:id="rId426" tooltip="STAWELL HARNESS RACING CLUB" display="http://www.vcgr.vic.gov.au/CA2570C30016EEF3/wListOfVenues/502313D503CF84FCCA257C690082F95F?Open" xr:uid="{00000000-0004-0000-0200-0000A9010000}"/>
    <hyperlink ref="B461" r:id="rId427" tooltip="STEEPLES" display="http://www.vcgr.vic.gov.au/CA2570C30016EEF3/wListOfVenues/14FE438EB13AC344CA257C690082F9A5?Open" xr:uid="{00000000-0004-0000-0200-0000AA010000}"/>
    <hyperlink ref="B462" r:id="rId428" tooltip="STONEYS CLUB" display="http://www.vcgr.vic.gov.au/CA2570C30016EEF3/wListOfVenues/4B2B14A759BA50CCCA257C690082F9A7?Open" xr:uid="{00000000-0004-0000-0200-0000AB010000}"/>
    <hyperlink ref="B463" r:id="rId429" tooltip="SUGAR GUM HOTEL" display="http://www.vcgr.vic.gov.au/CA2570C30016EEF3/wListOfVenues/3CBC2DCBC3E7DE70CA257C690082F8B1?Open" xr:uid="{00000000-0004-0000-0200-0000AC010000}"/>
    <hyperlink ref="B464" r:id="rId430" tooltip="SUMMERHILL HOTEL" display="http://www.vcgr.vic.gov.au/CA2570C30016EEF3/wListOfVenues/5144148198C5C23FCA257C690082F931?Open" xr:uid="{00000000-0004-0000-0200-0000AD010000}"/>
    <hyperlink ref="B465" r:id="rId431" tooltip="SUNBURY BOWLING CLUB" display="http://www.vcgr.vic.gov.au/CA2570C30016EEF3/wListOfVenues/30E24EFA4DC72868CA257C690082F80B?Open" xr:uid="{00000000-0004-0000-0200-0000AE010000}"/>
    <hyperlink ref="B466" r:id="rId432" tooltip="SUNBURY FOOTBALL SOCIAL CLUB" display="http://www.vcgr.vic.gov.au/CA2570C30016EEF3/wListOfVenues/94CDE966861924B0CA257C690082F818?Open" xr:uid="{00000000-0004-0000-0200-0000AF010000}"/>
    <hyperlink ref="B467" r:id="rId433" tooltip="SUNBURY UNITED SPORTING CLUB" display="http://www.vcgr.vic.gov.au/CA2570C30016EEF3/wListOfVenues/1682E72C5E6005AFCA257C690082F908?Open" xr:uid="{00000000-0004-0000-0200-0000B0010000}"/>
    <hyperlink ref="B468" r:id="rId434" tooltip="SUNSHINE CITY CLUB" display="http://www.vcgr.vic.gov.au/CA2570C30016EEF3/wListOfVenues/1D4D596BA56C4C3CCA257C690082F8B0?Open" xr:uid="{00000000-0004-0000-0200-0000B1010000}"/>
    <hyperlink ref="B469" r:id="rId435" tooltip="SUNSHINE RSL" display="http://www.vcgr.vic.gov.au/CA2570C30016EEF3/wListOfVenues/7D69772C95B97748CA257C690082F8DC?Open" xr:uid="{00000000-0004-0000-0200-0000B2010000}"/>
    <hyperlink ref="B470" r:id="rId436" tooltip="SWAN HILL CLUB" display="http://www.vcgr.vic.gov.au/CA2570C30016EEF3/wListOfVenues/AFDF9539A8C78D85CA257C690082F9B0?Open" xr:uid="{00000000-0004-0000-0200-0000B3010000}"/>
    <hyperlink ref="B471" r:id="rId437" tooltip="SWAN HILL RSL" display="http://www.vcgr.vic.gov.au/CA2570C30016EEF3/wListOfVenues/1C6E7CC09E57D21FCA257C690082F816?Open" xr:uid="{00000000-0004-0000-0200-0000B4010000}"/>
    <hyperlink ref="B472" r:id="rId438" tooltip="SYLVANIA HOTEL" display="http://www.vcgr.vic.gov.au/CA2570C30016EEF3/wListOfVenues/813AFF3A3705BAC0CA257C690082F970?Open" xr:uid="{00000000-0004-0000-0200-0000B5010000}"/>
    <hyperlink ref="B473" r:id="rId439" tooltip="TABCORP PARK" display="http://www.vcgr.vic.gov.au/CA2570C30016EEF3/wListOfVenues/94053A00220D3598CA257C690082F956?Open" xr:uid="{00000000-0004-0000-0200-0000B6010000}"/>
    <hyperlink ref="B474" r:id="rId440" tooltip="TANKERVILLE ARMS HOTEL" display="http://www.vcgr.vic.gov.au/CA2570C30016EEF3/wListOfVenues/C0B74CD6DCC89D30CA257C690082F8FE?Open" xr:uid="{00000000-0004-0000-0200-0000B7010000}"/>
    <hyperlink ref="B475" r:id="rId441" tooltip="TAYLORS LAKES FAMILY HOTEL" display="http://www.vcgr.vic.gov.au/CA2570C30016EEF3/wListOfVenues/EB18A26E5479B2EFCA257C690082F806?Open" xr:uid="{00000000-0004-0000-0200-0000B8010000}"/>
    <hyperlink ref="B476" r:id="rId442" tooltip="TEMPLESTOWE HOTEL" display="http://www.vcgr.vic.gov.au/CA2570C30016EEF3/wListOfVenues/A0B199421F198C5FCA257C690082F9F6?Open" xr:uid="{00000000-0004-0000-0200-0000B9010000}"/>
    <hyperlink ref="B39" r:id="rId443" tooltip="THE BAY &amp; BRIDGE HOTEL" display="http://www.vcgr.vic.gov.au/CA2570C30016EEF3/wListOfVenues/3F2CB609B6445FDACA257C690082F9E9?Open" xr:uid="{00000000-0004-0000-0200-0000BA010000}"/>
    <hyperlink ref="B41" r:id="rId444" tooltip="THE BEACH" display="http://www.vcgr.vic.gov.au/CA2570C30016EEF3/wListOfVenues/F033871AC88E62CBCA257C690082F9A4?Open" xr:uid="{00000000-0004-0000-0200-0000BB010000}"/>
    <hyperlink ref="B48" r:id="rId445" tooltip="THE BENDIGO CLUB" display="http://www.vcgr.vic.gov.au/CA2570C30016EEF3/wListOfVenues/F61A7DE12629FE83CA257C690082F86D?Open" xr:uid="{00000000-0004-0000-0200-0000BC010000}"/>
    <hyperlink ref="B60" r:id="rId446" tooltip="THE BOROUGH CLUB" display="http://www.vcgr.vic.gov.au/CA2570C30016EEF3/wListOfVenues/647E6C6733BE7931CA257C690082F8F7?Open" xr:uid="{00000000-0004-0000-0200-0000BD010000}"/>
    <hyperlink ref="B66" r:id="rId447" tooltip="THE BRIDGE HOTEL" display="http://www.vcgr.vic.gov.au/CA2570C30016EEF3/wListOfVenues/1FBB4678F5B05246CA257C690082F840?Open" xr:uid="{00000000-0004-0000-0200-0000BE010000}"/>
    <hyperlink ref="B69" r:id="rId448" tooltip="THE BROOK ON SNEYDES" display="http://www.vcgr.vic.gov.au/CA2570C30016EEF3/wListOfVenues/4C068E052AF3C757CA257C690082F935?Open" xr:uid="{00000000-0004-0000-0200-0000BF010000}"/>
    <hyperlink ref="B71" r:id="rId449" tooltip="THE BRUNSWICK CLUB" display="http://www.vcgr.vic.gov.au/CA2570C30016EEF3/wListOfVenues/085C96EA600F5A2CCA257C690082F7E9?Open" xr:uid="{00000000-0004-0000-0200-0000C0010000}"/>
    <hyperlink ref="B82" r:id="rId450" tooltip="THE CHASE HOTEL" display="http://www.vcgr.vic.gov.au/CA2570C30016EEF3/wListOfVenues/62E8DD8354F84573CA257C690082F918?Open" xr:uid="{00000000-0004-0000-0200-0000C1010000}"/>
    <hyperlink ref="B94" r:id="rId451" tooltip="THE CLUB" display="http://www.vcgr.vic.gov.au/CA2570C30016EEF3/wListOfVenues/BA3D2851C461877CCA257C690082F96C?Open" xr:uid="{00000000-0004-0000-0200-0000C2010000}"/>
    <hyperlink ref="B106" r:id="rId452" tooltip="THE COACH AND HORSES" display="http://www.vcgr.vic.gov.au/CA2570C30016EEF3/wListOfVenues/8353347ED3C63C59CA257C690082F8E8?Open" xr:uid="{00000000-0004-0000-0200-0000C3010000}"/>
    <hyperlink ref="B121" r:id="rId453" tooltip="THE COVE HOTEL" display="http://www.vcgr.vic.gov.au/CA2570C30016EEF3/wListOfVenues/6A042466A1458E8DCA257C690082F959?Open" xr:uid="{00000000-0004-0000-0200-0000C4010000}"/>
    <hyperlink ref="B155" r:id="rId454" tooltip="THE ELSTERNWICK CLUB" display="http://www.vcgr.vic.gov.au/CA2570C30016EEF3/wListOfVenues/6299B4981C5CF07DCA257C690082F938?Open" xr:uid="{00000000-0004-0000-0200-0000C5010000}"/>
    <hyperlink ref="B177" r:id="rId455" tooltip="THE FOUNDRY HOTEL COMPLEX" display="http://www.vcgr.vic.gov.au/CA2570C30016EEF3/wListOfVenues/003340640529C158CA257C690082F9BA?Open" xr:uid="{00000000-0004-0000-0200-0000C6010000}"/>
    <hyperlink ref="B229" r:id="rId456" tooltip="THE INTERNATIONAL" display="http://www.vcgr.vic.gov.au/CA2570C30016EEF3/wListOfVenues/38A583306A4A6CA9CA257C690082F9FA?Open" xr:uid="{00000000-0004-0000-0200-0000C7010000}"/>
    <hyperlink ref="B234" r:id="rId457" tooltip="THE JIM DANDY HOTEL" display="http://www.vcgr.vic.gov.au/CA2570C30016EEF3/wListOfVenues/2BA2CB8D46F17147CA257C690082F95C?Open" xr:uid="{00000000-0004-0000-0200-0000C8010000}"/>
    <hyperlink ref="B255" r:id="rId458" tooltip="THE LAKES ENTERTAINMENT CENTRE" display="http://www.vcgr.vic.gov.au/CA2570C30016EEF3/wListOfVenues/4E7E460E2D64CF7ECA257C690082F916?Open" xr:uid="{00000000-0004-0000-0200-0000C9010000}"/>
    <hyperlink ref="B293" r:id="rId459" tooltip="THE MEETING PLACE" display="http://www.vcgr.vic.gov.au/CA2570C30016EEF3/wListOfVenues/68AA4D902DFBDFEACA257C690082F90B?Open" xr:uid="{00000000-0004-0000-0200-0000CA010000}"/>
    <hyperlink ref="B306" r:id="rId460" tooltip="THE MINERS TAVERN" display="http://www.vcgr.vic.gov.au/CA2570C30016EEF3/wListOfVenues/3CFF3E50EE20D8F5CA257C690082F9EE?Open" xr:uid="{00000000-0004-0000-0200-0000CB010000}"/>
    <hyperlink ref="B316" r:id="rId461" tooltip="THE MOONEE PONDS CLUB" display="http://www.vcgr.vic.gov.au/CA2570C30016EEF3/wListOfVenues/6CCEF6EAD3FCC882CA257C690082F89F?Open" xr:uid="{00000000-0004-0000-0200-0000CC010000}"/>
    <hyperlink ref="B345" r:id="rId462" tooltip="THE OLD TOWN " display="http://www.vcgr.vic.gov.au/CA2570C30016EEF3/wListOfVenues/6B25220D250552EDCA257C690082F9AB?Open" xr:uid="{00000000-0004-0000-0200-0000CD010000}"/>
    <hyperlink ref="B349" r:id="rId463" tooltip="THE ORBOST CLUB" display="http://www.vcgr.vic.gov.au/CA2570C30016EEF3/wListOfVenues/FDAB700D826A391CCA257C690082F903?Open" xr:uid="{00000000-0004-0000-0200-0000CE010000}"/>
    <hyperlink ref="B365" r:id="rId464" tooltip="THE PHOENIX HOTEL" display="http://www.vcgr.vic.gov.au/CA2570C30016EEF3/wListOfVenues/E2ED84E79BACC8EFCA257C690082F9E3?Open" xr:uid="{00000000-0004-0000-0200-0000CF010000}"/>
    <hyperlink ref="B379" r:id="rId465" tooltip="THE PRINCE OF WALES HOTEL - RICHMOND" display="http://www.vcgr.vic.gov.au/CA2570C30016EEF3/wListOfVenues/8027375A2BD18C7BCA257C690082F8C0?Open" xr:uid="{00000000-0004-0000-0200-0000D0010000}"/>
    <hyperlink ref="B391" r:id="rId466" tooltip="THE REX" display="http://www.vcgr.vic.gov.au/CA2570C30016EEF3/wListOfVenues/4E875588BA75A1C7CA257C690082F962?Open" xr:uid="{00000000-0004-0000-0200-0000D1010000}"/>
    <hyperlink ref="B392" r:id="rId467" tooltip="THE RICHMOND HENTY HOTEL, PORTLAND" display="http://www.vcgr.vic.gov.au/CA2570C30016EEF3/wListOfVenues/22E0006D54ED3E0ECA257C690082F7F6?Open" xr:uid="{00000000-0004-0000-0200-0000D2010000}"/>
    <hyperlink ref="B413" r:id="rId468" tooltip="THE ROYAL HOTEL FERNTREE GULLY" display="http://www.vcgr.vic.gov.au/CA2570C30016EEF3/wListOfVenues/77F5084BDEBBC207CA257C690082F9C8?Open" xr:uid="{00000000-0004-0000-0200-0000D3010000}"/>
    <hyperlink ref="B422" r:id="rId469" tooltip="THE SALE RSL &amp; COMMUNITY SUB-BRANCH" display="http://www.vcgr.vic.gov.au/CA2570C30016EEF3/wListOfVenues/123BB9FECFE38D78CA257C690082F8AE?Open" xr:uid="{00000000-0004-0000-0200-0000D4010000}"/>
    <hyperlink ref="B432" r:id="rId470" tooltip="THE SETTLEMENT AT CRANBOURNE" display="http://www.vcgr.vic.gov.au/CA2570C30016EEF3/wListOfVenues/D849510F4DA2430CCA257C690082F81C?Open" xr:uid="{00000000-0004-0000-0200-0000D5010000}"/>
    <hyperlink ref="B477" r:id="rId471" tooltip="THE TIGERS CLUBHOUSE" display="http://www.vcgr.vic.gov.au/CA2570C30016EEF3/wListOfVenues/9004EF16FF560C7DCA257C690082F950?Open" xr:uid="{00000000-0004-0000-0200-0000D6010000}"/>
    <hyperlink ref="B489" r:id="rId472" tooltip="THE VALE HOTEL" display="http://www.vcgr.vic.gov.au/CA2570C30016EEF3/wListOfVenues/40734C6390488333CA257C690082F82A?Open" xr:uid="{00000000-0004-0000-0200-0000D7010000}"/>
    <hyperlink ref="B493" r:id="rId473" tooltip="THE VIC INN" display="http://www.vcgr.vic.gov.au/CA2570C30016EEF3/wListOfVenues/8A96A285C8B999ADCA257C690082F9A1?Open" xr:uid="{00000000-0004-0000-0200-0000D8010000}"/>
    <hyperlink ref="B536" r:id="rId474" tooltip="THE YARRAM COUNTRY CLUB" display="http://www.vcgr.vic.gov.au/CA2570C30016EEF3/wListOfVenues/329C5F0A96A6E859CA257C690082F96D?Open" xr:uid="{00000000-0004-0000-0200-0000D9010000}"/>
    <hyperlink ref="B478" r:id="rId475" tooltip="TOORADIN &amp; DISTRICT SPORTS CLUB" display="http://www.vcgr.vic.gov.au/CA2570C30016EEF3/wListOfVenues/08880CFD9B813E6ECA257C690082F87A?Open" xr:uid="{00000000-0004-0000-0200-0000DA010000}"/>
    <hyperlink ref="B479" r:id="rId476" tooltip="TORQUAY GOLF CLUB" display="http://www.vcgr.vic.gov.au/CA2570C30016EEF3/wListOfVenues/DC23B1AD9832BC1ACA257C690082F94F?Open" xr:uid="{00000000-0004-0000-0200-0000DB010000}"/>
    <hyperlink ref="B480" r:id="rId477" tooltip="TORQUAY HOTEL" display="http://www.vcgr.vic.gov.au/CA2570C30016EEF3/wListOfVenues/CF1F4558E150C6DACA257C690082F980?Open" xr:uid="{00000000-0004-0000-0200-0000DC010000}"/>
    <hyperlink ref="B481" r:id="rId478" tooltip="TOWER HOTEL" display="http://www.vcgr.vic.gov.au/CA2570C30016EEF3/wListOfVenues/784913E0A1D45BE1CA257C690082F822?Open" xr:uid="{00000000-0004-0000-0200-0000DD010000}"/>
    <hyperlink ref="B482" r:id="rId479" tooltip="TOWN HALL HOTEL STAWELL" display="http://www.vcgr.vic.gov.au/CA2570C30016EEF3/wListOfVenues/9B077349B952D07CCA257C690082F8E1?Open" xr:uid="{00000000-0004-0000-0200-0000DE010000}"/>
    <hyperlink ref="B483" r:id="rId480" tooltip="TRARALGON BOWLS CLUB" display="http://www.vcgr.vic.gov.au/CA2570C30016EEF3/wListOfVenues/97BAD9594D32E577CA257C690082F87D?Open" xr:uid="{00000000-0004-0000-0200-0000DF010000}"/>
    <hyperlink ref="B484" r:id="rId481" tooltip="TRARALGON RSL" display="http://www.vcgr.vic.gov.au/CA2570C30016EEF3/wListOfVenues/F514756D2EFB4527CA257C690082F815?Open" xr:uid="{00000000-0004-0000-0200-0000E0010000}"/>
    <hyperlink ref="B485" r:id="rId482" tooltip="TRIOS SPORTS CLUB" display="http://www.vcgr.vic.gov.au/CA2570C30016EEF3/wListOfVenues/F00824676FC3992CCA257C690082F92F?Open" xr:uid="{00000000-0004-0000-0200-0000E1010000}"/>
    <hyperlink ref="B486" r:id="rId483" tooltip="TUDOR INN HOTEL" display="http://www.vcgr.vic.gov.au/CA2570C30016EEF3/wListOfVenues/4FD18FE395D1ECC3CA257C690082F977?Open" xr:uid="{00000000-0004-0000-0200-0000E2010000}"/>
    <hyperlink ref="B114" r:id="rId484" tooltip="The Continental Hotel" display="http://www.vcgr.vic.gov.au/CA2570C30016EEF3/wListOfVenues/B1D9A87EE7517040CA257C690082F9E5?Open" xr:uid="{00000000-0004-0000-0200-0000E3010000}"/>
    <hyperlink ref="B487" r:id="rId485" tooltip="UNION CLUB HOTEL" display="http://www.vcgr.vic.gov.au/CA2570C30016EEF3/wListOfVenues/6B2B4583F3FA489CCA257C690082F861?Open" xr:uid="{00000000-0004-0000-0200-0000E4010000}"/>
    <hyperlink ref="B488" r:id="rId486" tooltip="UPPER YARRA RSL" display="http://www.vcgr.vic.gov.au/CA2570C30016EEF3/wListOfVenues/7A21AE5EE41FC6FDCA257C690082F975?Open" xr:uid="{00000000-0004-0000-0200-0000E5010000}"/>
    <hyperlink ref="B490" r:id="rId487" tooltip="VAUCLUSE HOTEL" display="http://www.vcgr.vic.gov.au/CA2570C30016EEF3/wListOfVenues/4AFCD0A726E73530CA257C690082F9D4?Open" xr:uid="{00000000-0004-0000-0200-0000E6010000}"/>
    <hyperlink ref="B491" r:id="rId488" tooltip="VEGAS AT WAVERLEY GARDENS" display="http://www.vcgr.vic.gov.au/CA2570C30016EEF3/wListOfVenues/8724DAB30BB68938CA257C690082F827?Open" xr:uid="{00000000-0004-0000-0200-0000E7010000}"/>
    <hyperlink ref="B492" r:id="rId489" tooltip="VENETO CLUB" display="http://www.vcgr.vic.gov.au/CA2570C30016EEF3/wListOfVenues/3218D13E453D679ACA257C690082F87B?Open" xr:uid="{00000000-0004-0000-0200-0000E8010000}"/>
    <hyperlink ref="B494" r:id="rId490" tooltip="VICTORIA HOTEL (SHEPPARTON)" display="http://www.vcgr.vic.gov.au/CA2570C30016EEF3/wListOfVenues/7DE487B38D1D10C3CA257C690082F8EF?Open" xr:uid="{00000000-0004-0000-0200-0000E9010000}"/>
    <hyperlink ref="B495" r:id="rId491" tooltip="VICTORIA ON HYDE HOTEL" display="http://www.vcgr.vic.gov.au/CA2570C30016EEF3/wListOfVenues/948B0E8004CA9784CA257C690082F982?Open" xr:uid="{00000000-0004-0000-0200-0000EA010000}"/>
    <hyperlink ref="B496" r:id="rId492" tooltip="VICTORIAN HARNESS RACING SPORTS CLUB" display="http://www.vcgr.vic.gov.au/CA2570C30016EEF3/wListOfVenues/BBC028A7140E937CCA257C690082F8B3?Open" xr:uid="{00000000-0004-0000-0200-0000EB010000}"/>
    <hyperlink ref="B497" r:id="rId493" tooltip="VICTORIAN TAVERN" display="http://www.vcgr.vic.gov.au/CA2570C30016EEF3/wListOfVenues/6CDB1744B841D684CA257C690082F9AF?Open" xr:uid="{00000000-0004-0000-0200-0000EC010000}"/>
    <hyperlink ref="B498" r:id="rId494" tooltip="VILLAGE BELLE HOTEL" display="http://www.vcgr.vic.gov.au/CA2570C30016EEF3/wListOfVenues/DE06CB658979C620CA257C690082F8BD?Open" xr:uid="{00000000-0004-0000-0200-0000ED010000}"/>
    <hyperlink ref="B499" r:id="rId495" tooltip="VILLAGE GREEN HOTEL" display="http://www.vcgr.vic.gov.au/CA2570C30016EEF3/wListOfVenues/8CBB232C4162B098CA257C690082F884?Open" xr:uid="{00000000-0004-0000-0200-0000EE010000}"/>
    <hyperlink ref="B500" r:id="rId496" tooltip="VINE HOTEL RICHMOND" display="http://www.vcgr.vic.gov.au/CA2570C30016EEF3/wListOfVenues/CDB3829A09462236CA257C690082F8B5?Open" xr:uid="{00000000-0004-0000-0200-0000EF010000}"/>
    <hyperlink ref="B501" r:id="rId497" tooltip="WALTZING MATILDA HOTEL" display="http://www.vcgr.vic.gov.au/CA2570C30016EEF3/wListOfVenues/72914184E748EB4BCA257C690082F985?Open" xr:uid="{00000000-0004-0000-0200-0000F0010000}"/>
    <hyperlink ref="B502" r:id="rId498" tooltip="WANGARATTA CLUB" display="http://www.vcgr.vic.gov.au/CA2570C30016EEF3/wListOfVenues/38F8ED5188557EBCCA257C690082F8B8?Open" xr:uid="{00000000-0004-0000-0200-0000F1010000}"/>
    <hyperlink ref="B503" r:id="rId499" tooltip="WANGARATTA RSL" display="http://www.vcgr.vic.gov.au/CA2570C30016EEF3/wListOfVenues/FE95DB6E3689D43FCA257C690082F84B?Open" xr:uid="{00000000-0004-0000-0200-0000F2010000}"/>
    <hyperlink ref="B504" r:id="rId500" tooltip="WANTIRNA CLUB" display="http://www.vcgr.vic.gov.au/CA2570C30016EEF3/wListOfVenues/EF4DE615D743259CCA257C690082F914?Open" xr:uid="{00000000-0004-0000-0200-0000F3010000}"/>
    <hyperlink ref="B505" r:id="rId501" tooltip="WANTIRNA HILL CLUB" display="http://www.vcgr.vic.gov.au/CA2570C30016EEF3/wListOfVenues/BCE2E559799633E2CA257C690082F97A?Open" xr:uid="{00000000-0004-0000-0200-0000F4010000}"/>
    <hyperlink ref="B506" r:id="rId502" tooltip="WARRAGUL CLUB" display="http://www.vcgr.vic.gov.au/CA2570C30016EEF3/wListOfVenues/FF8DCBD4B84FC14ACA257C690082F886?Open" xr:uid="{00000000-0004-0000-0200-0000F5010000}"/>
    <hyperlink ref="B507" r:id="rId503" tooltip="WARRAGUL COUNTRY CLUB" display="http://www.vcgr.vic.gov.au/CA2570C30016EEF3/wListOfVenues/F82501605530375ECA257C690082F958?Open" xr:uid="{00000000-0004-0000-0200-0000F6010000}"/>
    <hyperlink ref="B508" r:id="rId504" tooltip="WARRNAMBOOL BOWLS CLUB" display="http://www.vcgr.vic.gov.au/CA2570C30016EEF3/wListOfVenues/7A27A03451F215B0CA257C690082F8CF?Open" xr:uid="{00000000-0004-0000-0200-0000F7010000}"/>
    <hyperlink ref="B509" r:id="rId505" tooltip="WARRNAMBOOL FOOTBALL CLUB SOCIAL CLUB" display="http://www.vcgr.vic.gov.au/CA2570C30016EEF3/wListOfVenues/10905604E37A4D7BCA257C690082F7FC?Open" xr:uid="{00000000-0004-0000-0200-0000F8010000}"/>
    <hyperlink ref="B510" r:id="rId506" tooltip="WARRNAMBOOL RSL" display="http://www.vcgr.vic.gov.au/CA2570C30016EEF3/wListOfVenues/F4A3206D3DF0702CCA257C690082F961?Open" xr:uid="{00000000-0004-0000-0200-0000F9010000}"/>
    <hyperlink ref="B511" r:id="rId507" tooltip="WATERGARDENS HOTEL" display="http://www.vcgr.vic.gov.au/CA2570C30016EEF3/wListOfVenues/2B354466509CE747CA257C690082F8C2?Open" xr:uid="{00000000-0004-0000-0200-0000FA010000}"/>
    <hyperlink ref="B512" r:id="rId508" tooltip="WATERLOO CUP HOTEL" display="http://www.vcgr.vic.gov.au/CA2570C30016EEF3/wListOfVenues/4EABAAAAD1822E6ACA257C690082F9F7?Open" xr:uid="{00000000-0004-0000-0200-0000FB010000}"/>
    <hyperlink ref="B513" r:id="rId509" tooltip="WATSONIA RSL" display="http://www.vcgr.vic.gov.au/CA2570C30016EEF3/wListOfVenues/75033CB47900AD87CA257C690082F894?Open" xr:uid="{00000000-0004-0000-0200-0000FC010000}"/>
    <hyperlink ref="B514" r:id="rId510" tooltip="WAURN PONDS HOTEL" display="http://www.vcgr.vic.gov.au/CA2570C30016EEF3/wListOfVenues/9F4B676A79B24423CA257C690082F957?Open" xr:uid="{00000000-0004-0000-0200-0000FD010000}"/>
    <hyperlink ref="B515" r:id="rId511" tooltip="WAVERLEY RSL CLUB" display="http://www.vcgr.vic.gov.au/CA2570C30016EEF3/wListOfVenues/229C4D72E9B147E6CA257C690082F820?Open" xr:uid="{00000000-0004-0000-0200-0000FE010000}"/>
    <hyperlink ref="B516" r:id="rId512" tooltip="WERRIBEE BOWLING CLUB" display="http://www.vcgr.vic.gov.au/CA2570C30016EEF3/wListOfVenues/4C879C18287A8883CA257C690082F936?Open" xr:uid="{00000000-0004-0000-0200-0000FF010000}"/>
    <hyperlink ref="B517" r:id="rId513" tooltip="WERRIBEE PLAZA TAVERN" display="http://www.vcgr.vic.gov.au/CA2570C30016EEF3/wListOfVenues/31F008CCB2C0159DCA257C690082F9D1?Open" xr:uid="{00000000-0004-0000-0200-000000020000}"/>
    <hyperlink ref="B518" r:id="rId514" tooltip="WERRIBEE RSL" display="http://www.vcgr.vic.gov.au/CA2570C30016EEF3/wListOfVenues/DC48C57FDD8B915FCA257C690082F83F?Open" xr:uid="{00000000-0004-0000-0200-000001020000}"/>
    <hyperlink ref="B519" r:id="rId515" tooltip="WEST HEIDELBERG RSL" display="http://www.vcgr.vic.gov.au/CA2570C30016EEF3/wListOfVenues/6AF767BB72E6FF4BCA257C690082F8DB?Open" xr:uid="{00000000-0004-0000-0200-000002020000}"/>
    <hyperlink ref="B520" r:id="rId516" tooltip="WEST SIDE HORSHAM" display="http://www.vcgr.vic.gov.au/CA2570C30016EEF3/wListOfVenues/0F364279E4841A4ACA257C690082F923?Open" xr:uid="{00000000-0004-0000-0200-000003020000}"/>
    <hyperlink ref="B521" r:id="rId517" tooltip="WEST WATERS HOTEL" display="http://www.vcgr.vic.gov.au/CA2570C30016EEF3/wListOfVenues/E3980F0B650E9550CA257C690082F99B?Open" xr:uid="{00000000-0004-0000-0200-000004020000}"/>
    <hyperlink ref="B522" r:id="rId518" tooltip="WESTEND MARKET HOTEL" display="http://www.vcgr.vic.gov.au/CA2570C30016EEF3/wListOfVenues/018B241FFBBB01FDCA257C690082F836?Open" xr:uid="{00000000-0004-0000-0200-000005020000}"/>
    <hyperlink ref="B523" r:id="rId519" tooltip="WESTERNPORT HOTEL" display="http://www.vcgr.vic.gov.au/CA2570C30016EEF3/wListOfVenues/74B34A12D4B8321BCA257C690082F9F2?Open" xr:uid="{00000000-0004-0000-0200-000006020000}"/>
    <hyperlink ref="B524" r:id="rId520" tooltip="WESTMEADOWS TAVERN" display="http://www.vcgr.vic.gov.au/CA2570C30016EEF3/wListOfVenues/AA9CCE6C7B8395F6CA257C690082F96E?Open" xr:uid="{00000000-0004-0000-0200-000007020000}"/>
    <hyperlink ref="B525" r:id="rId521" tooltip="WESTSIDE TAVERNER" display="http://www.vcgr.vic.gov.au/CA2570C30016EEF3/wListOfVenues/502C2C52F5C68AA0CA257C690082F9C7?Open" xr:uid="{00000000-0004-0000-0200-000008020000}"/>
    <hyperlink ref="B526" r:id="rId522" tooltip="WHALERS HOTEL" display="http://www.vcgr.vic.gov.au/CA2570C30016EEF3/wListOfVenues/1817E179BC7F2107CA257C690082F89C?Open" xr:uid="{00000000-0004-0000-0200-000009020000}"/>
    <hyperlink ref="B527" r:id="rId523" tooltip="WHEELERS HILL HOTEL" display="http://www.vcgr.vic.gov.au/CA2570C30016EEF3/wListOfVenues/D174C2A1694A01ADCA257C690082F987?Open" xr:uid="{00000000-0004-0000-0200-00000A020000}"/>
    <hyperlink ref="B528" r:id="rId524" tooltip="WHITTLESEA BOWLS CLUB" display="http://www.vcgr.vic.gov.au/CA2570C30016EEF3/wListOfVenues/39BDE4208F045FECCA257C690082F964?Open" xr:uid="{00000000-0004-0000-0200-00000B020000}"/>
    <hyperlink ref="B529" r:id="rId525" tooltip="WILLIAMSTOWN RSL" display="http://www.vcgr.vic.gov.au/CA2570C30016EEF3/wListOfVenues/CE50F880067174EBCA257C690082F92A?Open" xr:uid="{00000000-0004-0000-0200-00000C020000}"/>
    <hyperlink ref="B530" r:id="rId526" tooltip="WINDERMERE HOTEL" display="http://www.vcgr.vic.gov.au/CA2570C30016EEF3/wListOfVenues/6769429AD3A1E808CA257C690082F9CA?Open" xr:uid="{00000000-0004-0000-0200-00000D020000}"/>
    <hyperlink ref="B531" r:id="rId527" tooltip="WONTHAGGI CLUB" display="http://www.vcgr.vic.gov.au/CA2570C30016EEF3/wListOfVenues/C0750551AA5E5C34CA257C690082F97B?Open" xr:uid="{00000000-0004-0000-0200-00000E020000}"/>
    <hyperlink ref="B532" r:id="rId528" tooltip="WONTHAGGI GOLF CLUB" display="http://www.vcgr.vic.gov.au/CA2570C30016EEF3/wListOfVenues/5C97D174DA12279FCA257C690082F9B1?Open" xr:uid="{00000000-0004-0000-0200-00000F020000}"/>
    <hyperlink ref="B533" r:id="rId529" tooltip="WONTHAGGI WORKMEN" display="http://www.vcgr.vic.gov.au/CA2570C30016EEF3/wListOfVenues/9488D230FFE4040ECA257C690082F834?Open" xr:uid="{00000000-0004-0000-0200-000010020000}"/>
    <hyperlink ref="B534" r:id="rId530" tooltip="YALLOURN BOWLING CLUB" display="http://www.vcgr.vic.gov.au/CA2570C30016EEF3/wListOfVenues/94ED00ECDDC0ACC9CA257C690082F955?Open" xr:uid="{00000000-0004-0000-0200-000011020000}"/>
    <hyperlink ref="B535" r:id="rId531" tooltip="YARRA VALLEY COUNTRY CLUB" display="http://www.vcgr.vic.gov.au/CA2570C30016EEF3/wListOfVenues/1551C8CB427C711ECA257C690082F88D?Open" xr:uid="{00000000-0004-0000-0200-000012020000}"/>
    <hyperlink ref="B537" r:id="rId532" tooltip="YARRAVILLE CLUB" display="http://www.vcgr.vic.gov.au/CA2570C30016EEF3/wListOfVenues/A151EF19EE4DA629CA257C690082F876?Open" xr:uid="{00000000-0004-0000-0200-000013020000}"/>
    <hyperlink ref="B538" r:id="rId533" tooltip="YARRAVILLE CLUB CRICKET CLUB" display="http://www.vcgr.vic.gov.au/CA2570C30016EEF3/wListOfVenues/BA5C013058041EE1CA257C690082F89E?Open" xr:uid="{00000000-0004-0000-0200-000014020000}"/>
    <hyperlink ref="B539" r:id="rId534" tooltip="YARRAVILLE-FOOTSCRAY BOWLING CLUB" display="http://www.vcgr.vic.gov.au/CA2570C30016EEF3/wListOfVenues/73EC3E8612EC19E7CA257C690082F930?Open" xr:uid="{00000000-0004-0000-0200-000015020000}"/>
    <hyperlink ref="B540" r:id="rId535" tooltip="YORK ON LILYDALE TAVERNER RESORT" display="http://www.vcgr.vic.gov.au/CA2570C30016EEF3/wListOfVenues/CD2B02BBC0FD843BCA257C690082F9C4?Open" xr:uid="{00000000-0004-0000-0200-000016020000}"/>
    <hyperlink ref="B541" r:id="rId536" tooltip="ZAGAME BORONIA" display="http://www.vcgr.vic.gov.au/CA2570C30016EEF3/wListOfVenues/5B8C18E9376B9C5BCA257C690082F952?Open" xr:uid="{00000000-0004-0000-0200-000017020000}"/>
    <hyperlink ref="B542" r:id="rId537" tooltip="ZAGAME" display="http://www.vcgr.vic.gov.au/CA2570C30016EEF3/wListOfVenues/B503CA8DECF26A02CA257C690082F8D0?Open" xr:uid="{00000000-0004-0000-0200-000018020000}"/>
    <hyperlink ref="B543" r:id="rId538" tooltip="ZAGAME" display="http://www.vcgr.vic.gov.au/CA2570C30016EEF3/wListOfVenues/5FDE4023AE2E61ACCA257C690082F9EC?Open" xr:uid="{00000000-0004-0000-0200-000019020000}"/>
    <hyperlink ref="B544" r:id="rId539" tooltip="ZAGAME" display="http://www.vcgr.vic.gov.au/CA2570C30016EEF3/wListOfVenues/1EF2BE3174B392C2CA257C690082F8D4?Open" xr:uid="{00000000-0004-0000-0200-00001A020000}"/>
    <hyperlink ref="B165" r:id="rId540" tooltip="ESSENDON FOOTBALL &amp; COMMUNITY SPORTING CLUB" display="http://www.vcgr.vic.gov.au/CA2570C30016EEF3/wListOfVenues/610AC9008B7AC17ACA257A480020AE73?Open" xr:uid="{00000000-0004-0000-0200-00001B020000}"/>
    <hyperlink ref="B29" r:id="rId541" tooltip="BAKERS ARMS HOTEL" display="http://www.vcgr.vic.gov.au/CA2570C30016EEF3/wListOfVenues/415934902398ADB7CA257A480020AF0C?Open" xr:uid="{00000000-0004-0000-0200-00001C020000}"/>
  </hyperlinks>
  <pageMargins left="0.39370078740157483" right="0.39370078740157483" top="0.39370078740157483" bottom="0.39370078740157483" header="0.31496062992125984" footer="0.31496062992125984"/>
  <pageSetup paperSize="9" orientation="landscape" horizontalDpi="300" verticalDpi="300" r:id="rId542"/>
  <drawing r:id="rId54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6"/>
  </sheetPr>
  <dimension ref="A1:K88"/>
  <sheetViews>
    <sheetView showGridLines="0" showRowColHeaders="0" topLeftCell="A2" zoomScale="85" workbookViewId="0">
      <selection activeCell="H40" sqref="H40"/>
    </sheetView>
  </sheetViews>
  <sheetFormatPr defaultRowHeight="12.75"/>
  <cols>
    <col min="1" max="1" width="6.42578125" customWidth="1"/>
    <col min="2" max="2" width="17.140625" style="23" bestFit="1" customWidth="1"/>
    <col min="3" max="3" width="10.140625" style="84" customWidth="1"/>
    <col min="4" max="4" width="6.42578125" style="25" customWidth="1"/>
    <col min="5" max="5" width="35.7109375" style="23" customWidth="1"/>
    <col min="6" max="6" width="10.140625" style="84" customWidth="1"/>
    <col min="7" max="7" width="9.140625" style="23"/>
    <col min="9" max="9" width="11.42578125" customWidth="1"/>
    <col min="10" max="10" width="11.85546875" customWidth="1"/>
    <col min="11" max="16384" width="9.140625" style="23"/>
  </cols>
  <sheetData>
    <row r="1" spans="2:11" ht="21.75" customHeight="1">
      <c r="B1" s="413" t="s">
        <v>0</v>
      </c>
      <c r="C1" s="413"/>
      <c r="D1" s="413"/>
      <c r="E1" s="413"/>
      <c r="F1" s="413"/>
      <c r="G1" s="413"/>
      <c r="H1" s="413"/>
    </row>
    <row r="2" spans="2:11" ht="15" customHeight="1">
      <c r="B2" s="23" t="s">
        <v>1</v>
      </c>
    </row>
    <row r="3" spans="2:11" ht="12.75" customHeight="1"/>
    <row r="4" spans="2:11" ht="18.75">
      <c r="B4" s="61" t="s">
        <v>2</v>
      </c>
      <c r="C4" s="85"/>
      <c r="D4" s="26"/>
      <c r="E4" s="24" t="s">
        <v>3</v>
      </c>
      <c r="K4"/>
    </row>
    <row r="5" spans="2:11">
      <c r="F5" s="87"/>
      <c r="H5" s="18" t="s">
        <v>1283</v>
      </c>
    </row>
    <row r="6" spans="2:11">
      <c r="B6" s="9" t="s">
        <v>10</v>
      </c>
      <c r="C6" s="162">
        <v>3</v>
      </c>
      <c r="D6" s="27"/>
      <c r="E6" s="10" t="s">
        <v>103</v>
      </c>
      <c r="F6" s="88">
        <f>C6</f>
        <v>3</v>
      </c>
      <c r="G6" s="23">
        <f>F6/1000000</f>
        <v>3.0000000000000001E-6</v>
      </c>
      <c r="H6" s="64">
        <v>4</v>
      </c>
      <c r="K6"/>
    </row>
    <row r="7" spans="2:11">
      <c r="B7" s="9" t="s">
        <v>11</v>
      </c>
      <c r="C7" s="162">
        <v>2</v>
      </c>
      <c r="D7" s="27"/>
      <c r="E7" s="10" t="s">
        <v>104</v>
      </c>
      <c r="F7" s="89">
        <f>SUM(C7,C68)</f>
        <v>4</v>
      </c>
      <c r="G7" s="23">
        <f>F7/1000000</f>
        <v>3.9999999999999998E-6</v>
      </c>
      <c r="H7" s="64">
        <v>4</v>
      </c>
      <c r="K7"/>
    </row>
    <row r="8" spans="2:11">
      <c r="B8" s="9" t="s">
        <v>12</v>
      </c>
      <c r="C8" s="162">
        <v>15</v>
      </c>
      <c r="D8" s="27"/>
      <c r="E8" s="10" t="s">
        <v>105</v>
      </c>
      <c r="F8" s="89">
        <f t="shared" ref="F8:F19" si="0">C8</f>
        <v>15</v>
      </c>
      <c r="G8" s="23">
        <f t="shared" ref="G8:G70" si="1">F8/1000000</f>
        <v>1.5E-5</v>
      </c>
      <c r="H8" s="64">
        <v>15</v>
      </c>
      <c r="K8"/>
    </row>
    <row r="9" spans="2:11">
      <c r="B9" s="9" t="s">
        <v>13</v>
      </c>
      <c r="C9" s="162">
        <v>10</v>
      </c>
      <c r="D9" s="27"/>
      <c r="E9" s="10" t="s">
        <v>106</v>
      </c>
      <c r="F9" s="89">
        <f t="shared" si="0"/>
        <v>10</v>
      </c>
      <c r="G9" s="23">
        <f t="shared" si="1"/>
        <v>1.0000000000000001E-5</v>
      </c>
      <c r="H9" s="64">
        <v>10</v>
      </c>
      <c r="K9"/>
    </row>
    <row r="10" spans="2:11">
      <c r="B10" s="9" t="s">
        <v>14</v>
      </c>
      <c r="C10" s="162">
        <v>5</v>
      </c>
      <c r="D10" s="27"/>
      <c r="E10" s="10" t="s">
        <v>107</v>
      </c>
      <c r="F10" s="89">
        <f t="shared" si="0"/>
        <v>5</v>
      </c>
      <c r="G10" s="23">
        <f t="shared" si="1"/>
        <v>5.0000000000000004E-6</v>
      </c>
      <c r="H10" s="64">
        <v>6</v>
      </c>
      <c r="K10"/>
    </row>
    <row r="11" spans="2:11">
      <c r="B11" s="9" t="s">
        <v>15</v>
      </c>
      <c r="C11" s="162">
        <v>4</v>
      </c>
      <c r="D11" s="27"/>
      <c r="E11" s="10" t="s">
        <v>108</v>
      </c>
      <c r="F11" s="89">
        <f t="shared" si="0"/>
        <v>4</v>
      </c>
      <c r="G11" s="23">
        <f t="shared" si="1"/>
        <v>3.9999999999999998E-6</v>
      </c>
      <c r="H11" s="64">
        <v>4</v>
      </c>
      <c r="K11"/>
    </row>
    <row r="12" spans="2:11">
      <c r="B12" s="9" t="s">
        <v>16</v>
      </c>
      <c r="C12" s="162">
        <v>6</v>
      </c>
      <c r="D12" s="27"/>
      <c r="E12" s="10" t="s">
        <v>109</v>
      </c>
      <c r="F12" s="89">
        <f t="shared" si="0"/>
        <v>6</v>
      </c>
      <c r="G12" s="23">
        <f t="shared" si="1"/>
        <v>6.0000000000000002E-6</v>
      </c>
      <c r="H12" s="64">
        <v>7</v>
      </c>
      <c r="K12"/>
    </row>
    <row r="13" spans="2:11">
      <c r="B13" s="9" t="s">
        <v>17</v>
      </c>
      <c r="C13" s="162">
        <v>3</v>
      </c>
      <c r="D13" s="27"/>
      <c r="E13" s="10" t="s">
        <v>110</v>
      </c>
      <c r="F13" s="89">
        <f t="shared" si="0"/>
        <v>3</v>
      </c>
      <c r="G13" s="23">
        <f t="shared" si="1"/>
        <v>3.0000000000000001E-6</v>
      </c>
      <c r="H13" s="64">
        <v>3</v>
      </c>
      <c r="K13"/>
    </row>
    <row r="14" spans="2:11">
      <c r="B14" s="9" t="s">
        <v>18</v>
      </c>
      <c r="C14" s="162">
        <v>5</v>
      </c>
      <c r="D14" s="27"/>
      <c r="E14" s="10" t="s">
        <v>111</v>
      </c>
      <c r="F14" s="89">
        <f t="shared" si="0"/>
        <v>5</v>
      </c>
      <c r="G14" s="23">
        <f t="shared" si="1"/>
        <v>5.0000000000000004E-6</v>
      </c>
      <c r="H14" s="64">
        <v>5</v>
      </c>
      <c r="K14"/>
    </row>
    <row r="15" spans="2:11">
      <c r="B15" s="9" t="s">
        <v>19</v>
      </c>
      <c r="C15" s="162">
        <v>15</v>
      </c>
      <c r="D15" s="27"/>
      <c r="E15" s="10" t="s">
        <v>112</v>
      </c>
      <c r="F15" s="89">
        <f t="shared" si="0"/>
        <v>15</v>
      </c>
      <c r="G15" s="23">
        <f t="shared" si="1"/>
        <v>1.5E-5</v>
      </c>
      <c r="H15" s="64">
        <v>15</v>
      </c>
      <c r="K15"/>
    </row>
    <row r="16" spans="2:11">
      <c r="B16" s="9" t="s">
        <v>20</v>
      </c>
      <c r="C16" s="162"/>
      <c r="D16" s="27"/>
      <c r="E16" s="10" t="s">
        <v>113</v>
      </c>
      <c r="F16" s="89">
        <f t="shared" si="0"/>
        <v>0</v>
      </c>
      <c r="G16" s="23">
        <f t="shared" si="1"/>
        <v>0</v>
      </c>
      <c r="H16" s="64">
        <v>0</v>
      </c>
      <c r="K16"/>
    </row>
    <row r="17" spans="2:11">
      <c r="B17" s="9" t="s">
        <v>21</v>
      </c>
      <c r="C17" s="162">
        <v>4</v>
      </c>
      <c r="D17" s="27"/>
      <c r="E17" s="10" t="s">
        <v>114</v>
      </c>
      <c r="F17" s="89">
        <f t="shared" si="0"/>
        <v>4</v>
      </c>
      <c r="G17" s="23">
        <f t="shared" si="1"/>
        <v>3.9999999999999998E-6</v>
      </c>
      <c r="H17" s="64">
        <v>4</v>
      </c>
      <c r="K17"/>
    </row>
    <row r="18" spans="2:11">
      <c r="B18" s="9" t="s">
        <v>22</v>
      </c>
      <c r="C18" s="162">
        <v>5</v>
      </c>
      <c r="D18" s="27"/>
      <c r="E18" s="10" t="s">
        <v>115</v>
      </c>
      <c r="F18" s="89">
        <f t="shared" si="0"/>
        <v>5</v>
      </c>
      <c r="G18" s="23">
        <f t="shared" si="1"/>
        <v>5.0000000000000004E-6</v>
      </c>
      <c r="H18" s="64">
        <v>5</v>
      </c>
      <c r="K18"/>
    </row>
    <row r="19" spans="2:11">
      <c r="B19" s="9" t="s">
        <v>23</v>
      </c>
      <c r="C19" s="162">
        <v>13</v>
      </c>
      <c r="D19" s="27"/>
      <c r="E19" s="10" t="s">
        <v>116</v>
      </c>
      <c r="F19" s="89">
        <f t="shared" si="0"/>
        <v>13</v>
      </c>
      <c r="G19" s="23">
        <f t="shared" si="1"/>
        <v>1.2999999999999999E-5</v>
      </c>
      <c r="H19" s="64">
        <v>13</v>
      </c>
      <c r="K19"/>
    </row>
    <row r="20" spans="2:11">
      <c r="B20" s="9" t="s">
        <v>24</v>
      </c>
      <c r="C20" s="162">
        <v>2</v>
      </c>
      <c r="D20" s="27"/>
      <c r="E20" s="10" t="s">
        <v>117</v>
      </c>
      <c r="F20" s="89">
        <f>SUM(C20,C34)</f>
        <v>4</v>
      </c>
      <c r="G20" s="23">
        <f t="shared" si="1"/>
        <v>3.9999999999999998E-6</v>
      </c>
      <c r="H20" s="64">
        <v>4</v>
      </c>
      <c r="K20"/>
    </row>
    <row r="21" spans="2:11">
      <c r="B21" s="9" t="s">
        <v>25</v>
      </c>
      <c r="C21" s="162">
        <v>5</v>
      </c>
      <c r="D21" s="27"/>
      <c r="E21" s="10" t="s">
        <v>118</v>
      </c>
      <c r="F21" s="89">
        <f>C21</f>
        <v>5</v>
      </c>
      <c r="G21" s="23">
        <f t="shared" si="1"/>
        <v>5.0000000000000004E-6</v>
      </c>
      <c r="H21" s="64">
        <v>5</v>
      </c>
      <c r="K21"/>
    </row>
    <row r="22" spans="2:11">
      <c r="B22" s="9" t="s">
        <v>42</v>
      </c>
      <c r="C22" s="162">
        <v>2</v>
      </c>
      <c r="D22" s="27"/>
      <c r="E22" s="10" t="s">
        <v>119</v>
      </c>
      <c r="F22" s="89">
        <f>SUM(C22,C66)</f>
        <v>4</v>
      </c>
      <c r="G22" s="23">
        <f t="shared" si="1"/>
        <v>3.9999999999999998E-6</v>
      </c>
      <c r="H22" s="64">
        <v>2</v>
      </c>
      <c r="K22"/>
    </row>
    <row r="23" spans="2:11">
      <c r="B23" s="9" t="s">
        <v>43</v>
      </c>
      <c r="C23" s="162">
        <v>13</v>
      </c>
      <c r="D23" s="27"/>
      <c r="E23" s="10" t="s">
        <v>120</v>
      </c>
      <c r="F23" s="89">
        <f>C23</f>
        <v>13</v>
      </c>
      <c r="G23" s="23">
        <f t="shared" si="1"/>
        <v>1.2999999999999999E-5</v>
      </c>
      <c r="H23" s="64">
        <v>13</v>
      </c>
      <c r="K23"/>
    </row>
    <row r="24" spans="2:11">
      <c r="B24" s="9" t="s">
        <v>44</v>
      </c>
      <c r="C24" s="162">
        <v>10</v>
      </c>
      <c r="D24" s="27"/>
      <c r="E24" s="10" t="s">
        <v>121</v>
      </c>
      <c r="F24" s="89">
        <f>C24</f>
        <v>10</v>
      </c>
      <c r="G24" s="23">
        <f t="shared" si="1"/>
        <v>1.0000000000000001E-5</v>
      </c>
      <c r="H24" s="64">
        <v>10</v>
      </c>
      <c r="K24"/>
    </row>
    <row r="25" spans="2:11">
      <c r="B25" s="9" t="s">
        <v>45</v>
      </c>
      <c r="C25" s="162">
        <v>10</v>
      </c>
      <c r="D25" s="27"/>
      <c r="E25" s="10" t="s">
        <v>122</v>
      </c>
      <c r="F25" s="89">
        <f>C25</f>
        <v>10</v>
      </c>
      <c r="G25" s="23">
        <f t="shared" si="1"/>
        <v>1.0000000000000001E-5</v>
      </c>
      <c r="H25" s="64">
        <v>10</v>
      </c>
      <c r="K25"/>
    </row>
    <row r="26" spans="2:11">
      <c r="B26" s="9" t="s">
        <v>46</v>
      </c>
      <c r="C26" s="162">
        <v>1</v>
      </c>
      <c r="D26" s="27"/>
      <c r="E26" s="10" t="s">
        <v>123</v>
      </c>
      <c r="F26" s="89">
        <f>SUM(C26,C59,C61,C70)</f>
        <v>4</v>
      </c>
      <c r="G26" s="23">
        <f t="shared" si="1"/>
        <v>3.9999999999999998E-6</v>
      </c>
      <c r="H26" s="64">
        <v>4</v>
      </c>
      <c r="K26"/>
    </row>
    <row r="27" spans="2:11">
      <c r="B27" s="9" t="s">
        <v>47</v>
      </c>
      <c r="C27" s="162">
        <v>11</v>
      </c>
      <c r="D27" s="27"/>
      <c r="E27" s="10" t="s">
        <v>124</v>
      </c>
      <c r="F27" s="89">
        <f t="shared" ref="F27:F33" si="2">C27</f>
        <v>11</v>
      </c>
      <c r="G27" s="23">
        <f t="shared" si="1"/>
        <v>1.1E-5</v>
      </c>
      <c r="H27" s="64">
        <v>12</v>
      </c>
      <c r="K27"/>
    </row>
    <row r="28" spans="2:11">
      <c r="B28" s="9" t="s">
        <v>48</v>
      </c>
      <c r="C28" s="162">
        <v>4</v>
      </c>
      <c r="D28" s="27"/>
      <c r="E28" s="10" t="s">
        <v>125</v>
      </c>
      <c r="F28" s="89">
        <f t="shared" si="2"/>
        <v>4</v>
      </c>
      <c r="G28" s="23">
        <f t="shared" si="1"/>
        <v>3.9999999999999998E-6</v>
      </c>
      <c r="H28" s="64">
        <v>4</v>
      </c>
      <c r="K28"/>
    </row>
    <row r="29" spans="2:11">
      <c r="B29" s="9" t="s">
        <v>49</v>
      </c>
      <c r="C29" s="162"/>
      <c r="D29" s="27"/>
      <c r="E29" s="10" t="s">
        <v>126</v>
      </c>
      <c r="F29" s="89">
        <f t="shared" si="2"/>
        <v>0</v>
      </c>
      <c r="G29" s="23">
        <f t="shared" si="1"/>
        <v>0</v>
      </c>
      <c r="H29" s="64">
        <v>0</v>
      </c>
      <c r="K29"/>
    </row>
    <row r="30" spans="2:11">
      <c r="B30" s="9" t="s">
        <v>50</v>
      </c>
      <c r="C30" s="162">
        <v>11</v>
      </c>
      <c r="D30" s="27"/>
      <c r="E30" s="10" t="s">
        <v>127</v>
      </c>
      <c r="F30" s="89">
        <f t="shared" si="2"/>
        <v>11</v>
      </c>
      <c r="G30" s="23">
        <f t="shared" si="1"/>
        <v>1.1E-5</v>
      </c>
      <c r="H30" s="64">
        <v>11</v>
      </c>
      <c r="K30"/>
    </row>
    <row r="31" spans="2:11">
      <c r="B31" s="9" t="s">
        <v>51</v>
      </c>
      <c r="C31" s="162">
        <v>15</v>
      </c>
      <c r="D31" s="27"/>
      <c r="E31" s="10" t="s">
        <v>128</v>
      </c>
      <c r="F31" s="89">
        <f t="shared" si="2"/>
        <v>15</v>
      </c>
      <c r="G31" s="23">
        <f t="shared" si="1"/>
        <v>1.5E-5</v>
      </c>
      <c r="H31" s="78">
        <v>15</v>
      </c>
      <c r="K31"/>
    </row>
    <row r="32" spans="2:11">
      <c r="B32" s="9" t="s">
        <v>52</v>
      </c>
      <c r="C32" s="162">
        <v>26</v>
      </c>
      <c r="D32" s="27"/>
      <c r="E32" s="10" t="s">
        <v>129</v>
      </c>
      <c r="F32" s="89">
        <f t="shared" si="2"/>
        <v>26</v>
      </c>
      <c r="G32" s="23">
        <f t="shared" si="1"/>
        <v>2.5999999999999998E-5</v>
      </c>
      <c r="H32" s="64">
        <v>26</v>
      </c>
      <c r="K32"/>
    </row>
    <row r="33" spans="2:11">
      <c r="B33" s="9" t="s">
        <v>53</v>
      </c>
      <c r="C33" s="162">
        <v>8</v>
      </c>
      <c r="D33" s="27"/>
      <c r="E33" s="10" t="s">
        <v>130</v>
      </c>
      <c r="F33" s="89">
        <f t="shared" si="2"/>
        <v>8</v>
      </c>
      <c r="G33" s="23">
        <f t="shared" si="1"/>
        <v>7.9999999999999996E-6</v>
      </c>
      <c r="H33" s="64">
        <v>9</v>
      </c>
      <c r="K33"/>
    </row>
    <row r="34" spans="2:11">
      <c r="B34" s="9" t="s">
        <v>54</v>
      </c>
      <c r="C34" s="162">
        <v>2</v>
      </c>
      <c r="D34" s="27"/>
      <c r="E34" s="10" t="s">
        <v>131</v>
      </c>
      <c r="F34" s="89">
        <f>SUM(C20,C34)</f>
        <v>4</v>
      </c>
      <c r="G34" s="23">
        <f t="shared" si="1"/>
        <v>3.9999999999999998E-6</v>
      </c>
      <c r="H34" s="64">
        <v>4</v>
      </c>
      <c r="K34"/>
    </row>
    <row r="35" spans="2:11">
      <c r="B35" s="9" t="s">
        <v>55</v>
      </c>
      <c r="C35" s="162"/>
      <c r="D35" s="27"/>
      <c r="E35" s="10" t="s">
        <v>132</v>
      </c>
      <c r="F35" s="89">
        <f t="shared" ref="F35:F45" si="3">C35</f>
        <v>0</v>
      </c>
      <c r="G35" s="23">
        <f t="shared" si="1"/>
        <v>0</v>
      </c>
      <c r="H35" s="64">
        <v>0</v>
      </c>
      <c r="K35"/>
    </row>
    <row r="36" spans="2:11">
      <c r="B36" s="9" t="s">
        <v>56</v>
      </c>
      <c r="C36" s="162">
        <v>10</v>
      </c>
      <c r="D36" s="27"/>
      <c r="E36" s="10" t="s">
        <v>133</v>
      </c>
      <c r="F36" s="89">
        <f t="shared" si="3"/>
        <v>10</v>
      </c>
      <c r="G36" s="23">
        <f t="shared" si="1"/>
        <v>1.0000000000000001E-5</v>
      </c>
      <c r="H36" s="64">
        <v>10</v>
      </c>
      <c r="K36"/>
    </row>
    <row r="37" spans="2:11">
      <c r="B37" s="9" t="s">
        <v>57</v>
      </c>
      <c r="C37" s="162">
        <v>3</v>
      </c>
      <c r="D37" s="27"/>
      <c r="E37" s="10" t="s">
        <v>134</v>
      </c>
      <c r="F37" s="89">
        <f t="shared" si="3"/>
        <v>3</v>
      </c>
      <c r="G37" s="23">
        <f t="shared" si="1"/>
        <v>3.0000000000000001E-6</v>
      </c>
      <c r="H37" s="64">
        <v>3</v>
      </c>
      <c r="K37"/>
    </row>
    <row r="38" spans="2:11">
      <c r="B38" s="9" t="s">
        <v>58</v>
      </c>
      <c r="C38" s="162">
        <v>14</v>
      </c>
      <c r="D38" s="27"/>
      <c r="E38" s="10" t="s">
        <v>135</v>
      </c>
      <c r="F38" s="89">
        <f t="shared" si="3"/>
        <v>14</v>
      </c>
      <c r="G38" s="23">
        <f t="shared" si="1"/>
        <v>1.4E-5</v>
      </c>
      <c r="H38" s="64">
        <v>14</v>
      </c>
      <c r="K38"/>
    </row>
    <row r="39" spans="2:11">
      <c r="B39" s="9" t="s">
        <v>59</v>
      </c>
      <c r="C39" s="162"/>
      <c r="D39" s="27"/>
      <c r="E39" s="10" t="s">
        <v>136</v>
      </c>
      <c r="F39" s="89">
        <f t="shared" si="3"/>
        <v>0</v>
      </c>
      <c r="G39" s="23">
        <f t="shared" si="1"/>
        <v>0</v>
      </c>
      <c r="H39" s="64">
        <v>0</v>
      </c>
      <c r="K39"/>
    </row>
    <row r="40" spans="2:11">
      <c r="B40" s="9" t="s">
        <v>60</v>
      </c>
      <c r="C40" s="162">
        <v>16</v>
      </c>
      <c r="D40" s="27"/>
      <c r="E40" s="10" t="s">
        <v>137</v>
      </c>
      <c r="F40" s="89">
        <f t="shared" si="3"/>
        <v>16</v>
      </c>
      <c r="G40" s="23">
        <f t="shared" si="1"/>
        <v>1.5999999999999999E-5</v>
      </c>
      <c r="H40" s="64">
        <v>18</v>
      </c>
      <c r="K40"/>
    </row>
    <row r="41" spans="2:11">
      <c r="B41" s="9" t="s">
        <v>61</v>
      </c>
      <c r="C41" s="162">
        <v>11</v>
      </c>
      <c r="D41" s="27"/>
      <c r="E41" s="10" t="s">
        <v>138</v>
      </c>
      <c r="F41" s="89">
        <f t="shared" si="3"/>
        <v>11</v>
      </c>
      <c r="G41" s="23">
        <f t="shared" si="1"/>
        <v>1.1E-5</v>
      </c>
      <c r="H41" s="64">
        <v>11</v>
      </c>
      <c r="K41"/>
    </row>
    <row r="42" spans="2:11">
      <c r="B42" s="9" t="s">
        <v>62</v>
      </c>
      <c r="C42" s="162">
        <v>13</v>
      </c>
      <c r="D42" s="27"/>
      <c r="E42" s="10" t="s">
        <v>139</v>
      </c>
      <c r="F42" s="89">
        <f t="shared" si="3"/>
        <v>13</v>
      </c>
      <c r="G42" s="23">
        <f t="shared" si="1"/>
        <v>1.2999999999999999E-5</v>
      </c>
      <c r="H42" s="64">
        <v>0</v>
      </c>
      <c r="K42"/>
    </row>
    <row r="43" spans="2:11">
      <c r="B43" s="9" t="s">
        <v>63</v>
      </c>
      <c r="C43" s="162"/>
      <c r="D43" s="27"/>
      <c r="E43" s="10" t="s">
        <v>140</v>
      </c>
      <c r="F43" s="89">
        <f t="shared" si="3"/>
        <v>0</v>
      </c>
      <c r="G43" s="23">
        <f t="shared" si="1"/>
        <v>0</v>
      </c>
      <c r="H43" s="64">
        <v>0</v>
      </c>
      <c r="K43"/>
    </row>
    <row r="44" spans="2:11">
      <c r="B44" s="9" t="s">
        <v>64</v>
      </c>
      <c r="C44" s="162">
        <v>3</v>
      </c>
      <c r="D44" s="27"/>
      <c r="E44" s="10" t="s">
        <v>141</v>
      </c>
      <c r="F44" s="89">
        <f t="shared" si="3"/>
        <v>3</v>
      </c>
      <c r="G44" s="23">
        <f t="shared" si="1"/>
        <v>3.0000000000000001E-6</v>
      </c>
      <c r="H44" s="64">
        <v>3</v>
      </c>
      <c r="K44"/>
    </row>
    <row r="45" spans="2:11">
      <c r="B45" s="9" t="s">
        <v>65</v>
      </c>
      <c r="C45" s="162">
        <v>7</v>
      </c>
      <c r="D45" s="27"/>
      <c r="E45" s="10" t="s">
        <v>142</v>
      </c>
      <c r="F45" s="89">
        <f t="shared" si="3"/>
        <v>7</v>
      </c>
      <c r="G45" s="23">
        <f t="shared" si="1"/>
        <v>6.9999999999999999E-6</v>
      </c>
      <c r="H45" s="64">
        <v>7</v>
      </c>
      <c r="K45"/>
    </row>
    <row r="46" spans="2:11">
      <c r="B46" s="9" t="s">
        <v>66</v>
      </c>
      <c r="C46" s="162">
        <v>1</v>
      </c>
      <c r="D46" s="27"/>
      <c r="E46" s="10" t="s">
        <v>143</v>
      </c>
      <c r="F46" s="89">
        <f>SUM(C46,C53,C73)</f>
        <v>4</v>
      </c>
      <c r="G46" s="23">
        <f t="shared" si="1"/>
        <v>3.9999999999999998E-6</v>
      </c>
      <c r="H46" s="64">
        <v>4</v>
      </c>
      <c r="K46"/>
    </row>
    <row r="47" spans="2:11">
      <c r="B47" s="9" t="s">
        <v>67</v>
      </c>
      <c r="C47" s="162">
        <v>9</v>
      </c>
      <c r="D47" s="27"/>
      <c r="E47" s="10" t="s">
        <v>144</v>
      </c>
      <c r="F47" s="89">
        <f t="shared" ref="F47:F52" si="4">C47</f>
        <v>9</v>
      </c>
      <c r="G47" s="23">
        <f t="shared" si="1"/>
        <v>9.0000000000000002E-6</v>
      </c>
      <c r="H47" s="64">
        <v>11</v>
      </c>
      <c r="K47"/>
    </row>
    <row r="48" spans="2:11">
      <c r="B48" s="9" t="s">
        <v>68</v>
      </c>
      <c r="C48" s="162">
        <v>10</v>
      </c>
      <c r="D48" s="27"/>
      <c r="E48" s="10" t="s">
        <v>145</v>
      </c>
      <c r="F48" s="89">
        <f t="shared" si="4"/>
        <v>10</v>
      </c>
      <c r="G48" s="23">
        <f t="shared" si="1"/>
        <v>1.0000000000000001E-5</v>
      </c>
      <c r="H48" s="64">
        <v>11</v>
      </c>
      <c r="K48"/>
    </row>
    <row r="49" spans="2:11">
      <c r="B49" s="9" t="s">
        <v>69</v>
      </c>
      <c r="C49" s="162">
        <v>11</v>
      </c>
      <c r="D49" s="27"/>
      <c r="E49" s="10" t="s">
        <v>146</v>
      </c>
      <c r="F49" s="89">
        <f t="shared" si="4"/>
        <v>11</v>
      </c>
      <c r="G49" s="23">
        <f t="shared" si="1"/>
        <v>1.1E-5</v>
      </c>
      <c r="H49" s="64">
        <v>12</v>
      </c>
      <c r="K49"/>
    </row>
    <row r="50" spans="2:11">
      <c r="B50" s="9" t="s">
        <v>70</v>
      </c>
      <c r="C50" s="162">
        <v>7</v>
      </c>
      <c r="D50" s="27"/>
      <c r="E50" s="10" t="s">
        <v>147</v>
      </c>
      <c r="F50" s="89">
        <f t="shared" si="4"/>
        <v>7</v>
      </c>
      <c r="G50" s="23">
        <f t="shared" si="1"/>
        <v>6.9999999999999999E-6</v>
      </c>
      <c r="H50" s="64">
        <v>7</v>
      </c>
      <c r="K50"/>
    </row>
    <row r="51" spans="2:11">
      <c r="B51" s="9" t="s">
        <v>71</v>
      </c>
      <c r="C51" s="162">
        <v>8</v>
      </c>
      <c r="D51" s="27"/>
      <c r="E51" s="10" t="s">
        <v>148</v>
      </c>
      <c r="F51" s="89">
        <f t="shared" si="4"/>
        <v>8</v>
      </c>
      <c r="G51" s="23">
        <f t="shared" si="1"/>
        <v>7.9999999999999996E-6</v>
      </c>
      <c r="H51" s="64">
        <v>8</v>
      </c>
      <c r="K51"/>
    </row>
    <row r="52" spans="2:11">
      <c r="B52" s="9" t="s">
        <v>72</v>
      </c>
      <c r="C52" s="162">
        <v>5</v>
      </c>
      <c r="D52" s="27"/>
      <c r="E52" s="10" t="s">
        <v>149</v>
      </c>
      <c r="F52" s="89">
        <f t="shared" si="4"/>
        <v>5</v>
      </c>
      <c r="G52" s="23">
        <f t="shared" si="1"/>
        <v>5.0000000000000004E-6</v>
      </c>
      <c r="H52" s="64">
        <v>5</v>
      </c>
      <c r="K52"/>
    </row>
    <row r="53" spans="2:11">
      <c r="B53" s="9" t="s">
        <v>73</v>
      </c>
      <c r="C53" s="162">
        <v>2</v>
      </c>
      <c r="D53" s="27"/>
      <c r="E53" s="10" t="s">
        <v>150</v>
      </c>
      <c r="F53" s="89">
        <f>SUM(C46,C53,C73)</f>
        <v>4</v>
      </c>
      <c r="G53" s="23">
        <f t="shared" si="1"/>
        <v>3.9999999999999998E-6</v>
      </c>
      <c r="H53" s="64">
        <v>4</v>
      </c>
      <c r="K53"/>
    </row>
    <row r="54" spans="2:11">
      <c r="B54" s="9" t="s">
        <v>74</v>
      </c>
      <c r="C54" s="162">
        <v>15</v>
      </c>
      <c r="D54" s="27"/>
      <c r="E54" s="10" t="s">
        <v>151</v>
      </c>
      <c r="F54" s="89">
        <f>C54</f>
        <v>15</v>
      </c>
      <c r="G54" s="23">
        <f t="shared" si="1"/>
        <v>1.5E-5</v>
      </c>
      <c r="H54" s="64">
        <v>16</v>
      </c>
      <c r="K54"/>
    </row>
    <row r="55" spans="2:11">
      <c r="B55" s="9" t="s">
        <v>75</v>
      </c>
      <c r="C55" s="162">
        <v>11</v>
      </c>
      <c r="D55" s="27"/>
      <c r="E55" s="10" t="s">
        <v>152</v>
      </c>
      <c r="F55" s="89">
        <f>C55</f>
        <v>11</v>
      </c>
      <c r="G55" s="23">
        <f t="shared" si="1"/>
        <v>1.1E-5</v>
      </c>
      <c r="H55" s="64">
        <v>11</v>
      </c>
      <c r="K55"/>
    </row>
    <row r="56" spans="2:11">
      <c r="B56" s="9" t="s">
        <v>76</v>
      </c>
      <c r="C56" s="162">
        <v>3</v>
      </c>
      <c r="D56" s="27"/>
      <c r="E56" s="10" t="s">
        <v>153</v>
      </c>
      <c r="F56" s="89">
        <f>C56</f>
        <v>3</v>
      </c>
      <c r="G56" s="23">
        <f t="shared" si="1"/>
        <v>3.0000000000000001E-6</v>
      </c>
      <c r="H56" s="64">
        <v>3</v>
      </c>
      <c r="K56"/>
    </row>
    <row r="57" spans="2:11">
      <c r="B57" s="9" t="s">
        <v>77</v>
      </c>
      <c r="C57" s="162">
        <v>15</v>
      </c>
      <c r="D57" s="27"/>
      <c r="E57" s="10" t="s">
        <v>154</v>
      </c>
      <c r="F57" s="89">
        <f>C57</f>
        <v>15</v>
      </c>
      <c r="G57" s="23">
        <f t="shared" si="1"/>
        <v>1.5E-5</v>
      </c>
      <c r="H57" s="64">
        <v>15</v>
      </c>
      <c r="K57"/>
    </row>
    <row r="58" spans="2:11">
      <c r="B58" s="9" t="s">
        <v>78</v>
      </c>
      <c r="C58" s="162">
        <v>17</v>
      </c>
      <c r="D58" s="27"/>
      <c r="E58" s="10" t="s">
        <v>155</v>
      </c>
      <c r="F58" s="89">
        <f>C58</f>
        <v>17</v>
      </c>
      <c r="G58" s="23">
        <f t="shared" si="1"/>
        <v>1.7E-5</v>
      </c>
      <c r="H58" s="64">
        <v>17</v>
      </c>
      <c r="K58"/>
    </row>
    <row r="59" spans="2:11">
      <c r="B59" s="9" t="s">
        <v>79</v>
      </c>
      <c r="C59" s="162">
        <v>1</v>
      </c>
      <c r="D59" s="27"/>
      <c r="E59" s="10" t="s">
        <v>156</v>
      </c>
      <c r="F59" s="89">
        <f>SUM(C26,C59,C61,C70)</f>
        <v>4</v>
      </c>
      <c r="G59" s="23">
        <f t="shared" si="1"/>
        <v>3.9999999999999998E-6</v>
      </c>
      <c r="H59" s="64">
        <v>4</v>
      </c>
      <c r="K59"/>
    </row>
    <row r="60" spans="2:11">
      <c r="B60" s="9" t="s">
        <v>80</v>
      </c>
      <c r="C60" s="162"/>
      <c r="D60" s="27"/>
      <c r="E60" s="10" t="s">
        <v>157</v>
      </c>
      <c r="F60" s="89">
        <f>C60</f>
        <v>0</v>
      </c>
      <c r="G60" s="23">
        <f t="shared" si="1"/>
        <v>0</v>
      </c>
      <c r="H60" s="64">
        <v>0</v>
      </c>
      <c r="K60"/>
    </row>
    <row r="61" spans="2:11">
      <c r="B61" s="9" t="s">
        <v>81</v>
      </c>
      <c r="C61" s="162">
        <v>1</v>
      </c>
      <c r="D61" s="27"/>
      <c r="E61" s="10" t="s">
        <v>158</v>
      </c>
      <c r="F61" s="89">
        <f>SUM(C26,C59,C61,C70)</f>
        <v>4</v>
      </c>
      <c r="G61" s="23">
        <f t="shared" si="1"/>
        <v>3.9999999999999998E-6</v>
      </c>
      <c r="H61" s="64">
        <v>4</v>
      </c>
      <c r="K61"/>
    </row>
    <row r="62" spans="2:11">
      <c r="B62" s="9" t="s">
        <v>82</v>
      </c>
      <c r="C62" s="162">
        <v>2</v>
      </c>
      <c r="D62" s="27"/>
      <c r="E62" s="10" t="s">
        <v>159</v>
      </c>
      <c r="F62" s="89">
        <f>C62</f>
        <v>2</v>
      </c>
      <c r="G62" s="23">
        <f t="shared" si="1"/>
        <v>1.9999999999999999E-6</v>
      </c>
      <c r="H62" s="64">
        <v>3</v>
      </c>
      <c r="K62"/>
    </row>
    <row r="63" spans="2:11">
      <c r="B63" s="9" t="s">
        <v>83</v>
      </c>
      <c r="C63" s="162">
        <v>3</v>
      </c>
      <c r="D63" s="27"/>
      <c r="E63" s="10" t="s">
        <v>160</v>
      </c>
      <c r="F63" s="89">
        <f>C63</f>
        <v>3</v>
      </c>
      <c r="G63" s="23">
        <f t="shared" si="1"/>
        <v>3.0000000000000001E-6</v>
      </c>
      <c r="H63" s="64">
        <v>4</v>
      </c>
      <c r="K63"/>
    </row>
    <row r="64" spans="2:11">
      <c r="B64" s="9" t="s">
        <v>84</v>
      </c>
      <c r="C64" s="162">
        <v>10</v>
      </c>
      <c r="D64" s="27"/>
      <c r="E64" s="10" t="s">
        <v>161</v>
      </c>
      <c r="F64" s="89">
        <f>C64</f>
        <v>10</v>
      </c>
      <c r="G64" s="23">
        <f t="shared" si="1"/>
        <v>1.0000000000000001E-5</v>
      </c>
      <c r="H64" s="64">
        <v>11</v>
      </c>
      <c r="K64"/>
    </row>
    <row r="65" spans="2:11">
      <c r="B65" s="9" t="s">
        <v>85</v>
      </c>
      <c r="C65" s="162"/>
      <c r="D65" s="27"/>
      <c r="E65" s="10" t="s">
        <v>162</v>
      </c>
      <c r="F65" s="89">
        <f>C65</f>
        <v>0</v>
      </c>
      <c r="G65" s="23">
        <f t="shared" si="1"/>
        <v>0</v>
      </c>
      <c r="H65" s="64">
        <v>0</v>
      </c>
      <c r="K65"/>
    </row>
    <row r="66" spans="2:11">
      <c r="B66" s="9" t="s">
        <v>86</v>
      </c>
      <c r="C66" s="162">
        <v>2</v>
      </c>
      <c r="D66" s="27"/>
      <c r="E66" s="10" t="s">
        <v>163</v>
      </c>
      <c r="F66" s="89">
        <f>SUM(C22,C66)</f>
        <v>4</v>
      </c>
      <c r="G66" s="23">
        <f t="shared" si="1"/>
        <v>3.9999999999999998E-6</v>
      </c>
      <c r="H66" s="64">
        <v>2</v>
      </c>
      <c r="K66"/>
    </row>
    <row r="67" spans="2:11">
      <c r="B67" s="9" t="s">
        <v>87</v>
      </c>
      <c r="C67" s="162">
        <v>4</v>
      </c>
      <c r="D67" s="27"/>
      <c r="E67" s="10" t="s">
        <v>164</v>
      </c>
      <c r="F67" s="89">
        <f>C67</f>
        <v>4</v>
      </c>
      <c r="G67" s="23">
        <f t="shared" si="1"/>
        <v>3.9999999999999998E-6</v>
      </c>
      <c r="H67" s="64">
        <v>4</v>
      </c>
      <c r="K67"/>
    </row>
    <row r="68" spans="2:11">
      <c r="B68" s="9" t="s">
        <v>88</v>
      </c>
      <c r="C68" s="162">
        <v>2</v>
      </c>
      <c r="D68" s="27"/>
      <c r="E68" s="10" t="s">
        <v>165</v>
      </c>
      <c r="F68" s="89">
        <f>SUM(C7,C68)</f>
        <v>4</v>
      </c>
      <c r="G68" s="23">
        <f t="shared" si="1"/>
        <v>3.9999999999999998E-6</v>
      </c>
      <c r="H68" s="64">
        <v>4</v>
      </c>
      <c r="K68"/>
    </row>
    <row r="69" spans="2:11">
      <c r="B69" s="9" t="s">
        <v>89</v>
      </c>
      <c r="C69" s="162">
        <v>7</v>
      </c>
      <c r="D69" s="27"/>
      <c r="E69" s="10" t="s">
        <v>166</v>
      </c>
      <c r="F69" s="89">
        <f>C69</f>
        <v>7</v>
      </c>
      <c r="G69" s="23">
        <f t="shared" si="1"/>
        <v>6.9999999999999999E-6</v>
      </c>
      <c r="H69" s="64">
        <v>7</v>
      </c>
      <c r="K69"/>
    </row>
    <row r="70" spans="2:11">
      <c r="B70" s="9" t="s">
        <v>90</v>
      </c>
      <c r="C70" s="162">
        <v>1</v>
      </c>
      <c r="D70" s="27"/>
      <c r="E70" s="10" t="s">
        <v>167</v>
      </c>
      <c r="F70" s="89">
        <f>SUM(C26,C59,C61,C70)</f>
        <v>4</v>
      </c>
      <c r="G70" s="23">
        <f t="shared" si="1"/>
        <v>3.9999999999999998E-6</v>
      </c>
      <c r="H70" s="64">
        <v>4</v>
      </c>
      <c r="K70"/>
    </row>
    <row r="71" spans="2:11">
      <c r="B71" s="9" t="s">
        <v>91</v>
      </c>
      <c r="C71" s="162">
        <v>4</v>
      </c>
      <c r="D71" s="27"/>
      <c r="E71" s="10" t="s">
        <v>168</v>
      </c>
      <c r="F71" s="89">
        <f>C71</f>
        <v>4</v>
      </c>
      <c r="G71" s="23">
        <f t="shared" ref="G71:G85" si="5">F71/1000000</f>
        <v>3.9999999999999998E-6</v>
      </c>
      <c r="H71" s="64">
        <v>4</v>
      </c>
      <c r="K71"/>
    </row>
    <row r="72" spans="2:11">
      <c r="B72" s="9" t="s">
        <v>92</v>
      </c>
      <c r="C72" s="162">
        <v>4</v>
      </c>
      <c r="D72" s="27"/>
      <c r="E72" s="10" t="s">
        <v>169</v>
      </c>
      <c r="F72" s="89">
        <f>C72</f>
        <v>4</v>
      </c>
      <c r="G72" s="23">
        <f t="shared" si="5"/>
        <v>3.9999999999999998E-6</v>
      </c>
      <c r="H72" s="64">
        <v>4</v>
      </c>
      <c r="K72"/>
    </row>
    <row r="73" spans="2:11">
      <c r="B73" s="9" t="s">
        <v>93</v>
      </c>
      <c r="C73" s="162">
        <v>1</v>
      </c>
      <c r="D73" s="27"/>
      <c r="E73" s="10" t="s">
        <v>170</v>
      </c>
      <c r="F73" s="89">
        <f>SUM(C46,C53,C73)</f>
        <v>4</v>
      </c>
      <c r="G73" s="23">
        <f t="shared" si="5"/>
        <v>3.9999999999999998E-6</v>
      </c>
      <c r="H73" s="64">
        <v>4</v>
      </c>
      <c r="K73"/>
    </row>
    <row r="74" spans="2:11">
      <c r="B74" s="9" t="s">
        <v>94</v>
      </c>
      <c r="C74" s="162">
        <v>4</v>
      </c>
      <c r="D74" s="27"/>
      <c r="E74" s="10" t="s">
        <v>171</v>
      </c>
      <c r="F74" s="89">
        <f t="shared" ref="F74:F86" si="6">C74</f>
        <v>4</v>
      </c>
      <c r="G74" s="23">
        <f t="shared" si="5"/>
        <v>3.9999999999999998E-6</v>
      </c>
      <c r="H74" s="64">
        <v>4</v>
      </c>
      <c r="K74"/>
    </row>
    <row r="75" spans="2:11">
      <c r="B75" s="9" t="s">
        <v>95</v>
      </c>
      <c r="C75" s="162">
        <v>8</v>
      </c>
      <c r="D75" s="27"/>
      <c r="E75" s="10" t="s">
        <v>179</v>
      </c>
      <c r="F75" s="89">
        <f t="shared" si="6"/>
        <v>8</v>
      </c>
      <c r="G75" s="23">
        <f t="shared" si="5"/>
        <v>7.9999999999999996E-6</v>
      </c>
      <c r="H75" s="64">
        <v>8</v>
      </c>
      <c r="K75"/>
    </row>
    <row r="76" spans="2:11">
      <c r="B76" s="9" t="s">
        <v>96</v>
      </c>
      <c r="C76" s="162">
        <v>7</v>
      </c>
      <c r="D76" s="27"/>
      <c r="E76" s="10" t="s">
        <v>172</v>
      </c>
      <c r="F76" s="89">
        <f t="shared" si="6"/>
        <v>7</v>
      </c>
      <c r="G76" s="23">
        <f t="shared" si="5"/>
        <v>6.9999999999999999E-6</v>
      </c>
      <c r="H76" s="64">
        <v>7</v>
      </c>
      <c r="K76"/>
    </row>
    <row r="77" spans="2:11">
      <c r="B77" s="9" t="s">
        <v>97</v>
      </c>
      <c r="C77" s="162"/>
      <c r="D77" s="27"/>
      <c r="E77" s="10" t="s">
        <v>180</v>
      </c>
      <c r="F77" s="89">
        <f t="shared" si="6"/>
        <v>0</v>
      </c>
      <c r="G77" s="23">
        <f t="shared" si="5"/>
        <v>0</v>
      </c>
      <c r="H77" s="64">
        <v>0</v>
      </c>
      <c r="K77"/>
    </row>
    <row r="78" spans="2:11">
      <c r="B78" s="9" t="s">
        <v>173</v>
      </c>
      <c r="C78" s="162">
        <v>6</v>
      </c>
      <c r="D78" s="27"/>
      <c r="E78" s="10" t="s">
        <v>173</v>
      </c>
      <c r="F78" s="89">
        <f t="shared" si="6"/>
        <v>6</v>
      </c>
      <c r="G78" s="23">
        <f t="shared" si="5"/>
        <v>6.0000000000000002E-6</v>
      </c>
      <c r="H78" s="64">
        <v>7</v>
      </c>
      <c r="K78"/>
    </row>
    <row r="79" spans="2:11">
      <c r="B79" s="9" t="s">
        <v>98</v>
      </c>
      <c r="C79" s="162">
        <v>10</v>
      </c>
      <c r="D79" s="27"/>
      <c r="E79" s="10" t="s">
        <v>174</v>
      </c>
      <c r="F79" s="89">
        <f t="shared" si="6"/>
        <v>10</v>
      </c>
      <c r="G79" s="23">
        <f t="shared" si="5"/>
        <v>1.0000000000000001E-5</v>
      </c>
      <c r="H79" s="64">
        <v>10</v>
      </c>
      <c r="K79"/>
    </row>
    <row r="80" spans="2:11">
      <c r="B80" s="9" t="s">
        <v>99</v>
      </c>
      <c r="C80" s="162">
        <v>4</v>
      </c>
      <c r="D80" s="27"/>
      <c r="E80" s="10" t="s">
        <v>181</v>
      </c>
      <c r="F80" s="89">
        <f t="shared" si="6"/>
        <v>4</v>
      </c>
      <c r="G80" s="23">
        <f t="shared" si="5"/>
        <v>3.9999999999999998E-6</v>
      </c>
      <c r="H80" s="64">
        <v>5</v>
      </c>
      <c r="K80"/>
    </row>
    <row r="81" spans="2:11">
      <c r="B81" s="9" t="s">
        <v>100</v>
      </c>
      <c r="C81" s="162">
        <v>13</v>
      </c>
      <c r="D81" s="27"/>
      <c r="E81" s="10" t="s">
        <v>175</v>
      </c>
      <c r="F81" s="89">
        <f t="shared" si="6"/>
        <v>13</v>
      </c>
      <c r="G81" s="23">
        <f t="shared" si="5"/>
        <v>1.2999999999999999E-5</v>
      </c>
      <c r="H81" s="64">
        <v>13</v>
      </c>
      <c r="K81"/>
    </row>
    <row r="82" spans="2:11">
      <c r="B82" s="9" t="s">
        <v>176</v>
      </c>
      <c r="C82" s="162">
        <v>8</v>
      </c>
      <c r="D82" s="27"/>
      <c r="E82" s="10" t="s">
        <v>176</v>
      </c>
      <c r="F82" s="89">
        <f t="shared" si="6"/>
        <v>8</v>
      </c>
      <c r="G82" s="23">
        <f t="shared" si="5"/>
        <v>7.9999999999999996E-6</v>
      </c>
      <c r="H82" s="64">
        <v>9</v>
      </c>
      <c r="K82"/>
    </row>
    <row r="83" spans="2:11">
      <c r="B83" s="9" t="s">
        <v>101</v>
      </c>
      <c r="C83" s="162">
        <v>9</v>
      </c>
      <c r="D83" s="27"/>
      <c r="E83" s="10" t="s">
        <v>177</v>
      </c>
      <c r="F83" s="89">
        <f t="shared" si="6"/>
        <v>9</v>
      </c>
      <c r="G83" s="23">
        <f t="shared" si="5"/>
        <v>9.0000000000000002E-6</v>
      </c>
      <c r="H83" s="64">
        <v>9</v>
      </c>
      <c r="K83"/>
    </row>
    <row r="84" spans="2:11">
      <c r="B84" s="9" t="s">
        <v>102</v>
      </c>
      <c r="C84" s="162"/>
      <c r="D84" s="27"/>
      <c r="E84" s="10" t="s">
        <v>178</v>
      </c>
      <c r="F84" s="89">
        <f t="shared" si="6"/>
        <v>0</v>
      </c>
      <c r="G84" s="23">
        <f t="shared" si="5"/>
        <v>0</v>
      </c>
      <c r="K84"/>
    </row>
    <row r="85" spans="2:11">
      <c r="B85" s="9" t="s">
        <v>4</v>
      </c>
      <c r="C85" s="163"/>
      <c r="E85" s="12" t="s">
        <v>4</v>
      </c>
      <c r="F85" s="89">
        <f>C85</f>
        <v>0</v>
      </c>
      <c r="G85" s="23">
        <f t="shared" si="5"/>
        <v>0</v>
      </c>
      <c r="K85"/>
    </row>
    <row r="86" spans="2:11">
      <c r="B86" s="23" t="s">
        <v>69</v>
      </c>
      <c r="C86" s="163"/>
      <c r="E86" s="11" t="s">
        <v>5</v>
      </c>
      <c r="F86" s="89">
        <f t="shared" si="6"/>
        <v>0</v>
      </c>
      <c r="K86"/>
    </row>
    <row r="87" spans="2:11">
      <c r="C87" s="86"/>
      <c r="F87" s="86"/>
      <c r="K87"/>
    </row>
    <row r="88" spans="2:11">
      <c r="K88"/>
    </row>
  </sheetData>
  <mergeCells count="1">
    <mergeCell ref="B1:H1"/>
  </mergeCells>
  <phoneticPr fontId="5" type="noConversion"/>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T144"/>
  <sheetViews>
    <sheetView showGridLines="0" showRowColHeaders="0" workbookViewId="0">
      <selection activeCell="K1" sqref="K1:L2"/>
    </sheetView>
  </sheetViews>
  <sheetFormatPr defaultRowHeight="12.75"/>
  <cols>
    <col min="2" max="2" width="2.42578125" bestFit="1" customWidth="1"/>
    <col min="3" max="3" width="2.42578125" customWidth="1"/>
    <col min="4" max="4" width="31.7109375" bestFit="1" customWidth="1"/>
    <col min="8" max="9" width="9.140625" style="75"/>
    <col min="16" max="16" width="9.140625" style="74"/>
    <col min="17" max="17" width="13" style="74" customWidth="1"/>
    <col min="18" max="19" width="9.140625" style="74"/>
  </cols>
  <sheetData>
    <row r="1" spans="1:20" ht="21" customHeight="1">
      <c r="K1" s="399" t="s">
        <v>1410</v>
      </c>
      <c r="L1" s="400"/>
      <c r="M1" s="74"/>
      <c r="N1" s="74"/>
      <c r="O1" s="74"/>
    </row>
    <row r="2" spans="1:20" ht="13.5" thickBot="1">
      <c r="K2" s="401"/>
      <c r="L2" s="402"/>
      <c r="M2" s="74"/>
      <c r="N2" s="74"/>
      <c r="O2" s="74"/>
    </row>
    <row r="3" spans="1:20" ht="1.5" customHeight="1" thickTop="1">
      <c r="D3" s="74"/>
      <c r="E3" s="74"/>
      <c r="F3" s="74"/>
      <c r="G3" s="74"/>
      <c r="H3" s="222"/>
      <c r="M3" s="74"/>
      <c r="N3" s="74"/>
      <c r="O3" s="74"/>
    </row>
    <row r="4" spans="1:20" ht="1.5" customHeight="1">
      <c r="D4" s="74"/>
      <c r="E4" s="74"/>
      <c r="F4" s="74"/>
      <c r="G4" s="74"/>
      <c r="H4" s="222"/>
      <c r="M4" s="74"/>
      <c r="N4" s="74"/>
      <c r="O4" s="74"/>
      <c r="T4" s="173"/>
    </row>
    <row r="5" spans="1:20">
      <c r="D5" s="74"/>
      <c r="E5" s="74"/>
      <c r="F5" s="74"/>
      <c r="G5" s="74"/>
      <c r="H5" s="222"/>
      <c r="M5" s="74"/>
      <c r="N5" s="74"/>
      <c r="O5" s="74"/>
      <c r="P5" s="173"/>
      <c r="Q5" s="173"/>
      <c r="R5" s="173"/>
      <c r="T5" s="173"/>
    </row>
    <row r="6" spans="1:20">
      <c r="B6" s="173"/>
      <c r="C6" s="173"/>
      <c r="D6" s="80">
        <v>6</v>
      </c>
      <c r="E6" s="80">
        <f>INDEX(P6:P12,D6)</f>
        <v>16</v>
      </c>
      <c r="F6" s="77"/>
      <c r="G6" s="77"/>
      <c r="H6" s="175"/>
      <c r="I6" s="81"/>
      <c r="J6" s="173"/>
      <c r="K6" s="173"/>
      <c r="L6" s="173"/>
      <c r="M6" s="77"/>
      <c r="N6" s="77"/>
      <c r="O6" s="77"/>
      <c r="P6" s="174">
        <v>5</v>
      </c>
      <c r="Q6" s="174" t="s">
        <v>1383</v>
      </c>
      <c r="R6" s="173"/>
      <c r="T6" s="173"/>
    </row>
    <row r="7" spans="1:20">
      <c r="A7" s="79"/>
      <c r="B7" s="79"/>
      <c r="C7" s="79"/>
      <c r="D7" s="79"/>
      <c r="E7" s="79"/>
      <c r="F7" s="79"/>
      <c r="G7" s="79"/>
      <c r="H7" s="230"/>
      <c r="I7" s="230"/>
      <c r="J7" s="79"/>
      <c r="K7" s="79"/>
      <c r="L7" s="173"/>
      <c r="M7" s="77"/>
      <c r="N7" s="77"/>
      <c r="O7" s="77"/>
      <c r="P7" s="174">
        <v>6</v>
      </c>
      <c r="Q7" s="174" t="s">
        <v>1384</v>
      </c>
      <c r="R7" s="173"/>
      <c r="T7" s="173"/>
    </row>
    <row r="8" spans="1:20">
      <c r="A8" s="239"/>
      <c r="B8" s="239"/>
      <c r="C8" s="239"/>
      <c r="D8" s="239"/>
      <c r="E8" s="240" t="s">
        <v>1280</v>
      </c>
      <c r="F8" s="240" t="s">
        <v>1281</v>
      </c>
      <c r="G8" s="240" t="s">
        <v>1282</v>
      </c>
      <c r="H8" s="241"/>
      <c r="I8" s="242"/>
      <c r="J8" s="239"/>
      <c r="K8" s="79"/>
      <c r="L8" s="173"/>
      <c r="M8" s="77"/>
      <c r="N8" s="77"/>
      <c r="O8" s="77"/>
      <c r="P8" s="174">
        <v>7</v>
      </c>
      <c r="Q8" s="174"/>
      <c r="R8" s="173"/>
      <c r="T8" s="173"/>
    </row>
    <row r="9" spans="1:20">
      <c r="A9" s="239"/>
      <c r="B9" s="243">
        <v>1</v>
      </c>
      <c r="C9" s="243">
        <v>1</v>
      </c>
      <c r="D9" s="244" t="s">
        <v>10</v>
      </c>
      <c r="E9" s="243">
        <f>VLOOKUP(B9,Data!$A$5:$T$85,$E$6)</f>
        <v>423.74241605263734</v>
      </c>
      <c r="F9" s="243">
        <f t="shared" ref="F9:F72" si="0">E9+0.00001*B9</f>
        <v>423.74242605263731</v>
      </c>
      <c r="G9" s="243">
        <f>RANK(F9,F$9:F$87)</f>
        <v>44</v>
      </c>
      <c r="H9" s="245" t="str">
        <f>VLOOKUP(MATCH(C9,G$9:G$87,0),$B$9:$G$87,3)</f>
        <v xml:space="preserve">Greater Dandenong </v>
      </c>
      <c r="I9" s="245">
        <f>VLOOKUP(MATCH(C9,G$9:G$87,0),$B$9:$G$87,4)</f>
        <v>909.71012870301331</v>
      </c>
      <c r="J9" s="239"/>
      <c r="K9" s="79"/>
      <c r="L9" s="173"/>
      <c r="M9" s="77"/>
      <c r="N9" s="77"/>
      <c r="O9" s="77"/>
      <c r="P9" s="174">
        <v>8</v>
      </c>
      <c r="Q9" s="174" t="s">
        <v>1486</v>
      </c>
      <c r="R9" s="173"/>
      <c r="T9" s="173"/>
    </row>
    <row r="10" spans="1:20" ht="12.75" customHeight="1">
      <c r="A10" s="239"/>
      <c r="B10" s="243">
        <v>2</v>
      </c>
      <c r="C10" s="243">
        <v>2</v>
      </c>
      <c r="D10" s="244" t="s">
        <v>11</v>
      </c>
      <c r="E10" s="243">
        <f>VLOOKUP(B10,Data!$A$5:$T$85,$E$6)</f>
        <v>531.11557533897121</v>
      </c>
      <c r="F10" s="243">
        <f t="shared" si="0"/>
        <v>531.11559533897116</v>
      </c>
      <c r="G10" s="243">
        <f t="shared" ref="G10:G73" si="1">RANK(F10,F$9:F$87)</f>
        <v>34</v>
      </c>
      <c r="H10" s="245" t="str">
        <f t="shared" ref="H10:H73" si="2">VLOOKUP(MATCH(C10,G$9:G$87,0),$B$9:$G$87,3)</f>
        <v xml:space="preserve">Brimbank </v>
      </c>
      <c r="I10" s="245">
        <f t="shared" ref="I10:I73" si="3">VLOOKUP(MATCH(C10,G$9:G$87,0),$B$9:$G$87,4)</f>
        <v>879.04097694057225</v>
      </c>
      <c r="J10" s="239"/>
      <c r="K10" s="79"/>
      <c r="L10" s="173"/>
      <c r="M10" s="77"/>
      <c r="N10" s="77"/>
      <c r="O10" s="77"/>
      <c r="P10" s="174">
        <v>13</v>
      </c>
      <c r="Q10" s="174" t="s">
        <v>1509</v>
      </c>
      <c r="R10" s="76"/>
      <c r="T10" s="173"/>
    </row>
    <row r="11" spans="1:20">
      <c r="A11" s="239"/>
      <c r="B11" s="243">
        <v>3</v>
      </c>
      <c r="C11" s="243">
        <v>3</v>
      </c>
      <c r="D11" s="244" t="s">
        <v>12</v>
      </c>
      <c r="E11" s="243">
        <f>VLOOKUP(B11,Data!$A$5:$T$85,$E$6)</f>
        <v>690.12590842183511</v>
      </c>
      <c r="F11" s="243">
        <f t="shared" si="0"/>
        <v>690.12593842183514</v>
      </c>
      <c r="G11" s="243">
        <f t="shared" si="1"/>
        <v>9</v>
      </c>
      <c r="H11" s="245" t="str">
        <f t="shared" si="2"/>
        <v xml:space="preserve">Latrobe </v>
      </c>
      <c r="I11" s="245">
        <f t="shared" si="3"/>
        <v>778.75745982092235</v>
      </c>
      <c r="J11" s="239"/>
      <c r="K11" s="79"/>
      <c r="L11" s="173"/>
      <c r="M11" s="77"/>
      <c r="N11" s="77"/>
      <c r="O11" s="77"/>
      <c r="P11" s="174">
        <v>16</v>
      </c>
      <c r="Q11" s="174" t="s">
        <v>1496</v>
      </c>
      <c r="R11" s="173"/>
      <c r="T11" s="173"/>
    </row>
    <row r="12" spans="1:20">
      <c r="A12" s="239"/>
      <c r="B12" s="243">
        <v>4</v>
      </c>
      <c r="C12" s="243">
        <v>4</v>
      </c>
      <c r="D12" s="244" t="s">
        <v>13</v>
      </c>
      <c r="E12" s="243">
        <f>VLOOKUP(B12,Data!$A$5:$T$85,$E$6)</f>
        <v>566.48739440605232</v>
      </c>
      <c r="F12" s="243">
        <f t="shared" si="0"/>
        <v>566.48743440605233</v>
      </c>
      <c r="G12" s="243">
        <f t="shared" si="1"/>
        <v>27</v>
      </c>
      <c r="H12" s="245" t="str">
        <f t="shared" si="2"/>
        <v xml:space="preserve">Moonee Valley </v>
      </c>
      <c r="I12" s="245">
        <f t="shared" si="3"/>
        <v>754.414038014276</v>
      </c>
      <c r="J12" s="239"/>
      <c r="K12" s="79"/>
      <c r="L12" s="173"/>
      <c r="M12" s="77"/>
      <c r="N12" s="77"/>
      <c r="O12" s="77"/>
      <c r="P12" s="174">
        <v>18</v>
      </c>
      <c r="Q12" s="174" t="s">
        <v>1510</v>
      </c>
      <c r="R12" s="173"/>
      <c r="T12" s="173"/>
    </row>
    <row r="13" spans="1:20">
      <c r="A13" s="239"/>
      <c r="B13" s="243">
        <v>5</v>
      </c>
      <c r="C13" s="243">
        <v>5</v>
      </c>
      <c r="D13" s="244" t="s">
        <v>14</v>
      </c>
      <c r="E13" s="243">
        <f>VLOOKUP(B13,Data!$A$5:$T$85,$E$6)</f>
        <v>614.81743241464687</v>
      </c>
      <c r="F13" s="243">
        <f t="shared" si="0"/>
        <v>614.81748241464686</v>
      </c>
      <c r="G13" s="243">
        <f t="shared" si="1"/>
        <v>23</v>
      </c>
      <c r="H13" s="245" t="str">
        <f t="shared" si="2"/>
        <v xml:space="preserve">Maribyrnong </v>
      </c>
      <c r="I13" s="245">
        <f t="shared" si="3"/>
        <v>752.67167537479452</v>
      </c>
      <c r="J13" s="239"/>
      <c r="K13" s="79"/>
      <c r="L13" s="173"/>
      <c r="M13" s="77"/>
      <c r="N13" s="77"/>
      <c r="O13" s="77"/>
      <c r="P13" s="76"/>
      <c r="Q13" s="76"/>
      <c r="R13" s="173"/>
      <c r="T13" s="173"/>
    </row>
    <row r="14" spans="1:20">
      <c r="A14" s="239"/>
      <c r="B14" s="243">
        <v>6</v>
      </c>
      <c r="C14" s="243">
        <v>6</v>
      </c>
      <c r="D14" s="244" t="s">
        <v>15</v>
      </c>
      <c r="E14" s="243">
        <f>VLOOKUP(B14,Data!$A$5:$T$85,$E$6)</f>
        <v>426.64514847128879</v>
      </c>
      <c r="F14" s="243">
        <f t="shared" si="0"/>
        <v>426.64520847128881</v>
      </c>
      <c r="G14" s="243">
        <f t="shared" si="1"/>
        <v>43</v>
      </c>
      <c r="H14" s="245" t="str">
        <f t="shared" si="2"/>
        <v xml:space="preserve">Warrnambool </v>
      </c>
      <c r="I14" s="245">
        <f t="shared" si="3"/>
        <v>713.37714023571675</v>
      </c>
      <c r="J14" s="239"/>
      <c r="K14" s="79"/>
      <c r="L14" s="173"/>
      <c r="M14" s="77"/>
      <c r="N14" s="77"/>
      <c r="O14" s="77"/>
      <c r="P14" s="229"/>
      <c r="Q14" s="229"/>
      <c r="T14" s="173"/>
    </row>
    <row r="15" spans="1:20">
      <c r="A15" s="239"/>
      <c r="B15" s="243">
        <v>7</v>
      </c>
      <c r="C15" s="243">
        <v>7</v>
      </c>
      <c r="D15" s="244" t="s">
        <v>16</v>
      </c>
      <c r="E15" s="243">
        <f>VLOOKUP(B15,Data!$A$5:$T$85,$E$6)</f>
        <v>167.5004220061162</v>
      </c>
      <c r="F15" s="243">
        <f t="shared" si="0"/>
        <v>167.50049200611619</v>
      </c>
      <c r="G15" s="243">
        <f t="shared" si="1"/>
        <v>65</v>
      </c>
      <c r="H15" s="245" t="str">
        <f t="shared" si="2"/>
        <v xml:space="preserve">Mildura </v>
      </c>
      <c r="I15" s="245">
        <f t="shared" si="3"/>
        <v>699.69287114449901</v>
      </c>
      <c r="J15" s="239"/>
      <c r="K15" s="79"/>
      <c r="L15" s="173"/>
      <c r="M15" s="77"/>
      <c r="N15" s="77"/>
      <c r="O15" s="77"/>
    </row>
    <row r="16" spans="1:20">
      <c r="A16" s="239"/>
      <c r="B16" s="243">
        <v>8</v>
      </c>
      <c r="C16" s="243">
        <v>8</v>
      </c>
      <c r="D16" s="244" t="s">
        <v>17</v>
      </c>
      <c r="E16" s="243">
        <f>VLOOKUP(B16,Data!$A$5:$T$85,$E$6)</f>
        <v>483.34662323122092</v>
      </c>
      <c r="F16" s="243">
        <f t="shared" si="0"/>
        <v>483.34670323122094</v>
      </c>
      <c r="G16" s="243">
        <f t="shared" si="1"/>
        <v>38</v>
      </c>
      <c r="H16" s="245" t="str">
        <f t="shared" si="2"/>
        <v xml:space="preserve">Central Goldfields </v>
      </c>
      <c r="I16" s="245">
        <f t="shared" si="3"/>
        <v>694.10584305524526</v>
      </c>
      <c r="J16" s="239"/>
      <c r="K16" s="79"/>
      <c r="L16" s="173"/>
      <c r="M16" s="77"/>
      <c r="N16" s="77"/>
      <c r="O16" s="77"/>
    </row>
    <row r="17" spans="1:15">
      <c r="A17" s="239"/>
      <c r="B17" s="243">
        <v>9</v>
      </c>
      <c r="C17" s="243">
        <v>9</v>
      </c>
      <c r="D17" s="244" t="s">
        <v>18</v>
      </c>
      <c r="E17" s="243">
        <f>VLOOKUP(B17,Data!$A$5:$T$85,$E$6)</f>
        <v>142.59772776809572</v>
      </c>
      <c r="F17" s="243">
        <f t="shared" si="0"/>
        <v>142.59781776809572</v>
      </c>
      <c r="G17" s="243">
        <f t="shared" si="1"/>
        <v>67</v>
      </c>
      <c r="H17" s="245" t="str">
        <f t="shared" si="2"/>
        <v xml:space="preserve">Ballarat </v>
      </c>
      <c r="I17" s="245">
        <f t="shared" si="3"/>
        <v>690.12590842183511</v>
      </c>
      <c r="J17" s="239"/>
      <c r="K17" s="79"/>
      <c r="L17" s="173"/>
      <c r="M17" s="77"/>
      <c r="N17" s="77"/>
      <c r="O17" s="77"/>
    </row>
    <row r="18" spans="1:15">
      <c r="A18" s="239"/>
      <c r="B18" s="243">
        <v>10</v>
      </c>
      <c r="C18" s="243">
        <v>10</v>
      </c>
      <c r="D18" s="244" t="s">
        <v>19</v>
      </c>
      <c r="E18" s="243">
        <f>VLOOKUP(B18,Data!$A$5:$T$85,$E$6)</f>
        <v>879.04097694057225</v>
      </c>
      <c r="F18" s="243">
        <f t="shared" si="0"/>
        <v>879.04107694057222</v>
      </c>
      <c r="G18" s="243">
        <f t="shared" si="1"/>
        <v>2</v>
      </c>
      <c r="H18" s="245" t="str">
        <f t="shared" si="2"/>
        <v xml:space="preserve">Monash </v>
      </c>
      <c r="I18" s="245">
        <f t="shared" si="3"/>
        <v>685.90752121803405</v>
      </c>
      <c r="J18" s="239"/>
      <c r="K18" s="79"/>
      <c r="L18" s="173"/>
      <c r="M18" s="173"/>
      <c r="N18" s="77"/>
      <c r="O18" s="77"/>
    </row>
    <row r="19" spans="1:15">
      <c r="A19" s="239"/>
      <c r="B19" s="243">
        <v>11</v>
      </c>
      <c r="C19" s="243">
        <v>11</v>
      </c>
      <c r="D19" s="244" t="s">
        <v>20</v>
      </c>
      <c r="E19" s="243">
        <f>VLOOKUP(B19,Data!$A$5:$T$85,$E$6)</f>
        <v>0</v>
      </c>
      <c r="F19" s="243">
        <f t="shared" si="0"/>
        <v>1.1E-4</v>
      </c>
      <c r="G19" s="243">
        <f t="shared" si="1"/>
        <v>79</v>
      </c>
      <c r="H19" s="245" t="str">
        <f t="shared" si="2"/>
        <v xml:space="preserve">Maroondah </v>
      </c>
      <c r="I19" s="245">
        <f t="shared" si="3"/>
        <v>685.56462022756671</v>
      </c>
      <c r="J19" s="239"/>
      <c r="K19" s="79"/>
      <c r="L19" s="173"/>
      <c r="M19" s="173"/>
      <c r="N19" s="77"/>
      <c r="O19" s="77"/>
    </row>
    <row r="20" spans="1:15">
      <c r="A20" s="239"/>
      <c r="B20" s="243">
        <v>12</v>
      </c>
      <c r="C20" s="243">
        <v>12</v>
      </c>
      <c r="D20" s="244" t="s">
        <v>21</v>
      </c>
      <c r="E20" s="243">
        <f>VLOOKUP(B20,Data!$A$5:$T$85,$E$6)</f>
        <v>299.78579819019876</v>
      </c>
      <c r="F20" s="243">
        <f t="shared" si="0"/>
        <v>299.78591819019874</v>
      </c>
      <c r="G20" s="243">
        <f t="shared" si="1"/>
        <v>50</v>
      </c>
      <c r="H20" s="245" t="str">
        <f t="shared" si="2"/>
        <v xml:space="preserve">Greater Shepparton </v>
      </c>
      <c r="I20" s="245">
        <f t="shared" si="3"/>
        <v>675.91086566481283</v>
      </c>
      <c r="J20" s="239"/>
      <c r="K20" s="79"/>
      <c r="L20" s="173"/>
      <c r="M20" s="173"/>
      <c r="N20" s="77"/>
      <c r="O20" s="77"/>
    </row>
    <row r="21" spans="1:15">
      <c r="A21" s="239"/>
      <c r="B21" s="243">
        <v>13</v>
      </c>
      <c r="C21" s="243">
        <v>13</v>
      </c>
      <c r="D21" s="244" t="s">
        <v>22</v>
      </c>
      <c r="E21" s="243">
        <f>VLOOKUP(B21,Data!$A$5:$T$85,$E$6)</f>
        <v>355.5343228988956</v>
      </c>
      <c r="F21" s="243">
        <f t="shared" si="0"/>
        <v>355.53445289889561</v>
      </c>
      <c r="G21" s="243">
        <f t="shared" si="1"/>
        <v>48</v>
      </c>
      <c r="H21" s="245" t="str">
        <f t="shared" si="2"/>
        <v xml:space="preserve">Hume </v>
      </c>
      <c r="I21" s="245">
        <f t="shared" si="3"/>
        <v>663.77683801816295</v>
      </c>
      <c r="J21" s="239"/>
      <c r="K21" s="79"/>
      <c r="L21" s="173"/>
      <c r="M21" s="173"/>
      <c r="N21" s="77"/>
      <c r="O21" s="77"/>
    </row>
    <row r="22" spans="1:15">
      <c r="A22" s="239"/>
      <c r="B22" s="243">
        <v>14</v>
      </c>
      <c r="C22" s="243">
        <v>14</v>
      </c>
      <c r="D22" s="244" t="s">
        <v>23</v>
      </c>
      <c r="E22" s="243">
        <f>VLOOKUP(B22,Data!$A$5:$T$85,$E$6)</f>
        <v>523.5307280262557</v>
      </c>
      <c r="F22" s="243">
        <f t="shared" si="0"/>
        <v>523.53086802625569</v>
      </c>
      <c r="G22" s="243">
        <f t="shared" si="1"/>
        <v>36</v>
      </c>
      <c r="H22" s="245" t="str">
        <f t="shared" si="2"/>
        <v xml:space="preserve">East Gippsland </v>
      </c>
      <c r="I22" s="245">
        <f t="shared" si="3"/>
        <v>663.44825282123475</v>
      </c>
      <c r="J22" s="239"/>
      <c r="K22" s="79"/>
      <c r="L22" s="173"/>
      <c r="M22" s="173"/>
      <c r="N22" s="77"/>
      <c r="O22" s="77"/>
    </row>
    <row r="23" spans="1:15">
      <c r="A23" s="239"/>
      <c r="B23" s="243">
        <v>15</v>
      </c>
      <c r="C23" s="243">
        <v>15</v>
      </c>
      <c r="D23" s="244" t="s">
        <v>24</v>
      </c>
      <c r="E23" s="243">
        <f>VLOOKUP(B23,Data!$A$5:$T$85,$E$6)</f>
        <v>694.10584305524526</v>
      </c>
      <c r="F23" s="243">
        <f t="shared" si="0"/>
        <v>694.10599305524522</v>
      </c>
      <c r="G23" s="243">
        <f t="shared" si="1"/>
        <v>8</v>
      </c>
      <c r="H23" s="245" t="str">
        <f t="shared" si="2"/>
        <v xml:space="preserve">Kingston </v>
      </c>
      <c r="I23" s="245">
        <f t="shared" si="3"/>
        <v>663.15875641020534</v>
      </c>
      <c r="J23" s="239"/>
      <c r="K23" s="79"/>
      <c r="L23" s="173"/>
      <c r="M23" s="173"/>
      <c r="N23" s="77"/>
      <c r="O23" s="77"/>
    </row>
    <row r="24" spans="1:15">
      <c r="A24" s="239"/>
      <c r="B24" s="243">
        <v>16</v>
      </c>
      <c r="C24" s="243">
        <v>16</v>
      </c>
      <c r="D24" s="244" t="s">
        <v>25</v>
      </c>
      <c r="E24" s="243">
        <f>VLOOKUP(B24,Data!$A$5:$T$85,$E$6)</f>
        <v>470.97948491351343</v>
      </c>
      <c r="F24" s="243">
        <f t="shared" si="0"/>
        <v>470.97964491351343</v>
      </c>
      <c r="G24" s="243">
        <f t="shared" si="1"/>
        <v>39</v>
      </c>
      <c r="H24" s="245" t="str">
        <f t="shared" si="2"/>
        <v xml:space="preserve">Whittlesea </v>
      </c>
      <c r="I24" s="245">
        <f t="shared" si="3"/>
        <v>655.09147711588071</v>
      </c>
      <c r="J24" s="239"/>
      <c r="K24" s="79"/>
      <c r="L24" s="173"/>
      <c r="M24" s="173"/>
      <c r="N24" s="77"/>
      <c r="O24" s="77"/>
    </row>
    <row r="25" spans="1:15">
      <c r="A25" s="239"/>
      <c r="B25" s="243">
        <v>17</v>
      </c>
      <c r="C25" s="243">
        <v>17</v>
      </c>
      <c r="D25" s="244" t="s">
        <v>42</v>
      </c>
      <c r="E25" s="243">
        <f>VLOOKUP(B25,Data!$A$5:$T$85,$E$6)</f>
        <v>220.26601021331925</v>
      </c>
      <c r="F25" s="243">
        <f t="shared" si="0"/>
        <v>220.26618021331925</v>
      </c>
      <c r="G25" s="243">
        <f t="shared" si="1"/>
        <v>57</v>
      </c>
      <c r="H25" s="245" t="str">
        <f t="shared" si="2"/>
        <v xml:space="preserve">Horsham </v>
      </c>
      <c r="I25" s="245">
        <f t="shared" si="3"/>
        <v>646.46192685344852</v>
      </c>
      <c r="J25" s="239"/>
      <c r="K25" s="79"/>
      <c r="L25" s="173"/>
      <c r="M25" s="173"/>
      <c r="N25" s="77"/>
      <c r="O25" s="77"/>
    </row>
    <row r="26" spans="1:15">
      <c r="A26" s="239"/>
      <c r="B26" s="243">
        <v>18</v>
      </c>
      <c r="C26" s="243">
        <v>18</v>
      </c>
      <c r="D26" s="244" t="s">
        <v>43</v>
      </c>
      <c r="E26" s="243">
        <f>VLOOKUP(B26,Data!$A$5:$T$85,$E$6)</f>
        <v>620.43565653687995</v>
      </c>
      <c r="F26" s="243">
        <f t="shared" si="0"/>
        <v>620.43583653687995</v>
      </c>
      <c r="G26" s="243">
        <f t="shared" si="1"/>
        <v>21</v>
      </c>
      <c r="H26" s="245" t="str">
        <f t="shared" si="2"/>
        <v xml:space="preserve">Mornington Peninsula </v>
      </c>
      <c r="I26" s="245">
        <f t="shared" si="3"/>
        <v>631.38686041720678</v>
      </c>
      <c r="J26" s="239"/>
      <c r="K26" s="79"/>
      <c r="L26" s="173"/>
      <c r="M26" s="173"/>
      <c r="N26" s="77"/>
      <c r="O26" s="77"/>
    </row>
    <row r="27" spans="1:15">
      <c r="A27" s="239"/>
      <c r="B27" s="243">
        <v>19</v>
      </c>
      <c r="C27" s="243">
        <v>19</v>
      </c>
      <c r="D27" s="244" t="s">
        <v>44</v>
      </c>
      <c r="E27" s="243">
        <f>VLOOKUP(B27,Data!$A$5:$T$85,$E$6)</f>
        <v>663.44825282123475</v>
      </c>
      <c r="F27" s="243">
        <f t="shared" si="0"/>
        <v>663.44844282123472</v>
      </c>
      <c r="G27" s="243">
        <f t="shared" si="1"/>
        <v>14</v>
      </c>
      <c r="H27" s="245" t="str">
        <f t="shared" si="2"/>
        <v xml:space="preserve">Hobsons Bay </v>
      </c>
      <c r="I27" s="245">
        <f t="shared" si="3"/>
        <v>624.90993332272228</v>
      </c>
      <c r="J27" s="239"/>
      <c r="K27" s="79"/>
      <c r="L27" s="173"/>
      <c r="M27" s="173"/>
      <c r="N27" s="77"/>
      <c r="O27" s="77"/>
    </row>
    <row r="28" spans="1:15">
      <c r="A28" s="239"/>
      <c r="B28" s="243">
        <v>20</v>
      </c>
      <c r="C28" s="243">
        <v>20</v>
      </c>
      <c r="D28" s="244" t="s">
        <v>45</v>
      </c>
      <c r="E28" s="243">
        <f>VLOOKUP(B28,Data!$A$5:$T$85,$E$6)</f>
        <v>561.63894684437184</v>
      </c>
      <c r="F28" s="243">
        <f t="shared" si="0"/>
        <v>561.63914684437179</v>
      </c>
      <c r="G28" s="243">
        <f t="shared" si="1"/>
        <v>30</v>
      </c>
      <c r="H28" s="245" t="str">
        <f t="shared" si="2"/>
        <v xml:space="preserve">Wellington </v>
      </c>
      <c r="I28" s="245">
        <f t="shared" si="3"/>
        <v>620.62279486964349</v>
      </c>
      <c r="J28" s="239"/>
      <c r="K28" s="79"/>
      <c r="L28" s="173"/>
      <c r="M28" s="173"/>
      <c r="N28" s="77"/>
      <c r="O28" s="77"/>
    </row>
    <row r="29" spans="1:15">
      <c r="A29" s="239"/>
      <c r="B29" s="243">
        <v>21</v>
      </c>
      <c r="C29" s="243">
        <v>21</v>
      </c>
      <c r="D29" s="244" t="s">
        <v>46</v>
      </c>
      <c r="E29" s="243">
        <f>VLOOKUP(B29,Data!$A$5:$T$85,$E$6)</f>
        <v>230.37670549144519</v>
      </c>
      <c r="F29" s="243">
        <f t="shared" si="0"/>
        <v>230.3769154914452</v>
      </c>
      <c r="G29" s="243">
        <f t="shared" si="1"/>
        <v>56</v>
      </c>
      <c r="H29" s="245" t="str">
        <f t="shared" si="2"/>
        <v xml:space="preserve">Darebin </v>
      </c>
      <c r="I29" s="245">
        <f t="shared" si="3"/>
        <v>620.43565653687995</v>
      </c>
      <c r="J29" s="239"/>
      <c r="K29" s="79"/>
      <c r="L29" s="173"/>
      <c r="M29" s="173"/>
      <c r="N29" s="77"/>
      <c r="O29" s="77"/>
    </row>
    <row r="30" spans="1:15">
      <c r="A30" s="239"/>
      <c r="B30" s="243">
        <v>22</v>
      </c>
      <c r="C30" s="243">
        <v>22</v>
      </c>
      <c r="D30" s="244" t="s">
        <v>47</v>
      </c>
      <c r="E30" s="243">
        <f>VLOOKUP(B30,Data!$A$5:$T$85,$E$6)</f>
        <v>616.72503379850082</v>
      </c>
      <c r="F30" s="243">
        <f t="shared" si="0"/>
        <v>616.72525379850083</v>
      </c>
      <c r="G30" s="243">
        <f t="shared" si="1"/>
        <v>22</v>
      </c>
      <c r="H30" s="245" t="str">
        <f t="shared" si="2"/>
        <v xml:space="preserve">Glen Eira </v>
      </c>
      <c r="I30" s="245">
        <f t="shared" si="3"/>
        <v>616.72503379850082</v>
      </c>
      <c r="J30" s="239"/>
      <c r="K30" s="79"/>
      <c r="L30" s="173"/>
      <c r="M30" s="173"/>
      <c r="N30" s="173"/>
      <c r="O30" s="173"/>
    </row>
    <row r="31" spans="1:15">
      <c r="A31" s="239"/>
      <c r="B31" s="243">
        <v>23</v>
      </c>
      <c r="C31" s="243">
        <v>23</v>
      </c>
      <c r="D31" s="244" t="s">
        <v>48</v>
      </c>
      <c r="E31" s="243">
        <f>VLOOKUP(B31,Data!$A$5:$T$85,$E$6)</f>
        <v>446.13076821649537</v>
      </c>
      <c r="F31" s="243">
        <f t="shared" si="0"/>
        <v>446.13099821649536</v>
      </c>
      <c r="G31" s="243">
        <f t="shared" si="1"/>
        <v>40</v>
      </c>
      <c r="H31" s="245" t="str">
        <f t="shared" si="2"/>
        <v xml:space="preserve">Bass Coast </v>
      </c>
      <c r="I31" s="245">
        <f t="shared" si="3"/>
        <v>614.81743241464687</v>
      </c>
      <c r="J31" s="239"/>
      <c r="K31" s="79"/>
      <c r="L31" s="173"/>
      <c r="M31" s="173"/>
      <c r="N31" s="173"/>
      <c r="O31" s="173"/>
    </row>
    <row r="32" spans="1:15">
      <c r="A32" s="239"/>
      <c r="B32" s="243">
        <v>24</v>
      </c>
      <c r="C32" s="243">
        <v>24</v>
      </c>
      <c r="D32" s="244" t="s">
        <v>49</v>
      </c>
      <c r="E32" s="243">
        <f>VLOOKUP(B32,Data!$A$5:$T$85,$E$6)</f>
        <v>0</v>
      </c>
      <c r="F32" s="243">
        <f t="shared" si="0"/>
        <v>2.4000000000000003E-4</v>
      </c>
      <c r="G32" s="243">
        <f t="shared" si="1"/>
        <v>78</v>
      </c>
      <c r="H32" s="245" t="str">
        <f t="shared" si="2"/>
        <v xml:space="preserve">Greater Geelong </v>
      </c>
      <c r="I32" s="245">
        <f t="shared" si="3"/>
        <v>597.49104562796117</v>
      </c>
      <c r="J32" s="239"/>
      <c r="K32" s="79"/>
      <c r="L32" s="173"/>
      <c r="M32" s="173"/>
      <c r="N32" s="173"/>
      <c r="O32" s="173"/>
    </row>
    <row r="33" spans="1:15">
      <c r="A33" s="239"/>
      <c r="B33" s="243">
        <v>25</v>
      </c>
      <c r="C33" s="243">
        <v>25</v>
      </c>
      <c r="D33" s="244" t="s">
        <v>50</v>
      </c>
      <c r="E33" s="243">
        <f>VLOOKUP(B33,Data!$A$5:$T$85,$E$6)</f>
        <v>564.29809471951057</v>
      </c>
      <c r="F33" s="243">
        <f t="shared" si="0"/>
        <v>564.29834471951062</v>
      </c>
      <c r="G33" s="243">
        <f t="shared" si="1"/>
        <v>29</v>
      </c>
      <c r="H33" s="245" t="str">
        <f t="shared" si="2"/>
        <v xml:space="preserve">Melton </v>
      </c>
      <c r="I33" s="245">
        <f t="shared" si="3"/>
        <v>590.01180443416172</v>
      </c>
      <c r="J33" s="239"/>
      <c r="K33" s="79"/>
      <c r="L33" s="173"/>
      <c r="M33" s="173"/>
      <c r="N33" s="173"/>
      <c r="O33" s="173"/>
    </row>
    <row r="34" spans="1:15">
      <c r="A34" s="239"/>
      <c r="B34" s="243">
        <v>26</v>
      </c>
      <c r="C34" s="243">
        <v>26</v>
      </c>
      <c r="D34" s="244" t="s">
        <v>51</v>
      </c>
      <c r="E34" s="243">
        <f>VLOOKUP(B34,Data!$A$5:$T$85,$E$6)</f>
        <v>909.71012870301331</v>
      </c>
      <c r="F34" s="243">
        <f t="shared" si="0"/>
        <v>909.71038870301334</v>
      </c>
      <c r="G34" s="243">
        <f t="shared" si="1"/>
        <v>1</v>
      </c>
      <c r="H34" s="245" t="str">
        <f t="shared" si="2"/>
        <v xml:space="preserve">Knox </v>
      </c>
      <c r="I34" s="245">
        <f t="shared" si="3"/>
        <v>575.68478628725529</v>
      </c>
      <c r="J34" s="239"/>
      <c r="K34" s="79"/>
      <c r="L34" s="173"/>
      <c r="M34" s="173"/>
      <c r="N34" s="173"/>
      <c r="O34" s="173"/>
    </row>
    <row r="35" spans="1:15">
      <c r="A35" s="239"/>
      <c r="B35" s="243">
        <v>27</v>
      </c>
      <c r="C35" s="243">
        <v>27</v>
      </c>
      <c r="D35" s="244" t="s">
        <v>52</v>
      </c>
      <c r="E35" s="243">
        <f>VLOOKUP(B35,Data!$A$5:$T$85,$E$6)</f>
        <v>597.49104562796117</v>
      </c>
      <c r="F35" s="243">
        <f t="shared" si="0"/>
        <v>597.49131562796117</v>
      </c>
      <c r="G35" s="243">
        <f t="shared" si="1"/>
        <v>24</v>
      </c>
      <c r="H35" s="245" t="str">
        <f t="shared" si="2"/>
        <v xml:space="preserve">Banyule </v>
      </c>
      <c r="I35" s="245">
        <f t="shared" si="3"/>
        <v>566.48739440605232</v>
      </c>
      <c r="J35" s="239"/>
      <c r="K35" s="79"/>
      <c r="L35" s="173"/>
      <c r="M35" s="173"/>
      <c r="N35" s="173"/>
      <c r="O35" s="173"/>
    </row>
    <row r="36" spans="1:15">
      <c r="A36" s="239"/>
      <c r="B36" s="243">
        <v>28</v>
      </c>
      <c r="C36" s="243">
        <v>28</v>
      </c>
      <c r="D36" s="244" t="s">
        <v>53</v>
      </c>
      <c r="E36" s="243">
        <f>VLOOKUP(B36,Data!$A$5:$T$85,$E$6)</f>
        <v>675.91086566481283</v>
      </c>
      <c r="F36" s="243">
        <f t="shared" si="0"/>
        <v>675.91114566481281</v>
      </c>
      <c r="G36" s="243">
        <f t="shared" si="1"/>
        <v>12</v>
      </c>
      <c r="H36" s="245" t="str">
        <f t="shared" si="2"/>
        <v xml:space="preserve">Wyndham </v>
      </c>
      <c r="I36" s="245">
        <f t="shared" si="3"/>
        <v>564.79211069450093</v>
      </c>
      <c r="J36" s="239"/>
      <c r="K36" s="79"/>
      <c r="L36" s="173"/>
      <c r="M36" s="173"/>
      <c r="N36" s="173"/>
      <c r="O36" s="173"/>
    </row>
    <row r="37" spans="1:15">
      <c r="A37" s="239"/>
      <c r="B37" s="243">
        <v>29</v>
      </c>
      <c r="C37" s="243">
        <v>29</v>
      </c>
      <c r="D37" s="244" t="s">
        <v>54</v>
      </c>
      <c r="E37" s="243">
        <f>VLOOKUP(B37,Data!$A$5:$T$85,$E$6)</f>
        <v>205.73197737593026</v>
      </c>
      <c r="F37" s="243">
        <f t="shared" si="0"/>
        <v>205.73226737593026</v>
      </c>
      <c r="G37" s="243">
        <f t="shared" si="1"/>
        <v>59</v>
      </c>
      <c r="H37" s="245" t="str">
        <f t="shared" si="2"/>
        <v xml:space="preserve">Greater Bendigo </v>
      </c>
      <c r="I37" s="245">
        <f t="shared" si="3"/>
        <v>564.29809471951057</v>
      </c>
      <c r="J37" s="239"/>
      <c r="K37" s="79"/>
      <c r="L37" s="173"/>
      <c r="M37" s="173"/>
      <c r="N37" s="173"/>
      <c r="O37" s="173"/>
    </row>
    <row r="38" spans="1:15">
      <c r="A38" s="239"/>
      <c r="B38" s="243">
        <v>30</v>
      </c>
      <c r="C38" s="243">
        <v>30</v>
      </c>
      <c r="D38" s="244" t="s">
        <v>55</v>
      </c>
      <c r="E38" s="243">
        <f>VLOOKUP(B38,Data!$A$5:$T$85,$E$6)</f>
        <v>0</v>
      </c>
      <c r="F38" s="243">
        <f t="shared" si="0"/>
        <v>3.0000000000000003E-4</v>
      </c>
      <c r="G38" s="243">
        <f t="shared" si="1"/>
        <v>77</v>
      </c>
      <c r="H38" s="245" t="str">
        <f t="shared" si="2"/>
        <v xml:space="preserve">Frankston </v>
      </c>
      <c r="I38" s="245">
        <f t="shared" si="3"/>
        <v>561.63894684437184</v>
      </c>
      <c r="J38" s="239"/>
      <c r="K38" s="79"/>
      <c r="L38" s="173"/>
      <c r="M38" s="173"/>
      <c r="N38" s="173"/>
      <c r="O38" s="173"/>
    </row>
    <row r="39" spans="1:15">
      <c r="A39" s="239"/>
      <c r="B39" s="243">
        <v>31</v>
      </c>
      <c r="C39" s="243">
        <v>31</v>
      </c>
      <c r="D39" s="244" t="s">
        <v>56</v>
      </c>
      <c r="E39" s="243">
        <f>VLOOKUP(B39,Data!$A$5:$T$85,$E$6)</f>
        <v>624.90993332272228</v>
      </c>
      <c r="F39" s="243">
        <f t="shared" si="0"/>
        <v>624.91024332272229</v>
      </c>
      <c r="G39" s="243">
        <f t="shared" si="1"/>
        <v>19</v>
      </c>
      <c r="H39" s="245" t="str">
        <f t="shared" si="2"/>
        <v xml:space="preserve">Manningham </v>
      </c>
      <c r="I39" s="245">
        <f t="shared" si="3"/>
        <v>555.69711007238811</v>
      </c>
      <c r="J39" s="239"/>
      <c r="K39" s="79"/>
      <c r="L39" s="173"/>
      <c r="M39" s="173"/>
      <c r="N39" s="173"/>
      <c r="O39" s="173"/>
    </row>
    <row r="40" spans="1:15">
      <c r="A40" s="239"/>
      <c r="B40" s="243">
        <v>32</v>
      </c>
      <c r="C40" s="243">
        <v>32</v>
      </c>
      <c r="D40" s="244" t="s">
        <v>57</v>
      </c>
      <c r="E40" s="243">
        <f>VLOOKUP(B40,Data!$A$5:$T$85,$E$6)</f>
        <v>646.46192685344852</v>
      </c>
      <c r="F40" s="243">
        <f t="shared" si="0"/>
        <v>646.46224685344851</v>
      </c>
      <c r="G40" s="243">
        <f t="shared" si="1"/>
        <v>17</v>
      </c>
      <c r="H40" s="245" t="str">
        <f t="shared" si="2"/>
        <v xml:space="preserve">Mitchell </v>
      </c>
      <c r="I40" s="245">
        <f t="shared" si="3"/>
        <v>552.08738949566418</v>
      </c>
      <c r="J40" s="239"/>
      <c r="K40" s="79"/>
      <c r="L40" s="173"/>
      <c r="M40" s="173"/>
      <c r="N40" s="173"/>
      <c r="O40" s="173"/>
    </row>
    <row r="41" spans="1:15">
      <c r="A41" s="239"/>
      <c r="B41" s="243">
        <v>33</v>
      </c>
      <c r="C41" s="243">
        <v>33</v>
      </c>
      <c r="D41" s="244" t="s">
        <v>58</v>
      </c>
      <c r="E41" s="243">
        <f>VLOOKUP(B41,Data!$A$5:$T$85,$E$6)</f>
        <v>663.77683801816295</v>
      </c>
      <c r="F41" s="243">
        <f t="shared" si="0"/>
        <v>663.77716801816291</v>
      </c>
      <c r="G41" s="243">
        <f t="shared" si="1"/>
        <v>13</v>
      </c>
      <c r="H41" s="245" t="str">
        <f t="shared" si="2"/>
        <v xml:space="preserve">Melbourne </v>
      </c>
      <c r="I41" s="245">
        <f t="shared" si="3"/>
        <v>546.73919577930337</v>
      </c>
      <c r="J41" s="239"/>
      <c r="K41" s="79"/>
      <c r="L41" s="173"/>
      <c r="M41" s="173"/>
      <c r="N41" s="173"/>
      <c r="O41" s="173"/>
    </row>
    <row r="42" spans="1:15">
      <c r="A42" s="239"/>
      <c r="B42" s="243">
        <v>34</v>
      </c>
      <c r="C42" s="243">
        <v>34</v>
      </c>
      <c r="D42" s="244" t="s">
        <v>59</v>
      </c>
      <c r="E42" s="243">
        <f>VLOOKUP(B42,Data!$A$5:$T$85,$E$6)</f>
        <v>0</v>
      </c>
      <c r="F42" s="243">
        <f t="shared" si="0"/>
        <v>3.4000000000000002E-4</v>
      </c>
      <c r="G42" s="243">
        <f t="shared" si="1"/>
        <v>76</v>
      </c>
      <c r="H42" s="245" t="str">
        <f t="shared" si="2"/>
        <v xml:space="preserve">Ararat </v>
      </c>
      <c r="I42" s="245">
        <f t="shared" si="3"/>
        <v>531.11557533897121</v>
      </c>
      <c r="J42" s="239"/>
      <c r="K42" s="79"/>
      <c r="L42" s="173"/>
      <c r="M42" s="173"/>
      <c r="N42" s="173"/>
      <c r="O42" s="173"/>
    </row>
    <row r="43" spans="1:15">
      <c r="A43" s="239"/>
      <c r="B43" s="243">
        <v>35</v>
      </c>
      <c r="C43" s="243">
        <v>35</v>
      </c>
      <c r="D43" s="244" t="s">
        <v>60</v>
      </c>
      <c r="E43" s="243">
        <f>VLOOKUP(B43,Data!$A$5:$T$85,$E$6)</f>
        <v>663.15875641020534</v>
      </c>
      <c r="F43" s="243">
        <f t="shared" si="0"/>
        <v>663.15910641020537</v>
      </c>
      <c r="G43" s="243">
        <f t="shared" si="1"/>
        <v>15</v>
      </c>
      <c r="H43" s="245" t="str">
        <f t="shared" si="2"/>
        <v xml:space="preserve">Swan Hill </v>
      </c>
      <c r="I43" s="245">
        <f t="shared" si="3"/>
        <v>528.30959679599732</v>
      </c>
      <c r="J43" s="239"/>
      <c r="K43" s="79"/>
      <c r="L43" s="173"/>
      <c r="M43" s="173"/>
      <c r="N43" s="173"/>
      <c r="O43" s="173"/>
    </row>
    <row r="44" spans="1:15">
      <c r="A44" s="239"/>
      <c r="B44" s="243">
        <v>36</v>
      </c>
      <c r="C44" s="243">
        <v>36</v>
      </c>
      <c r="D44" s="244" t="s">
        <v>61</v>
      </c>
      <c r="E44" s="243">
        <f>VLOOKUP(B44,Data!$A$5:$T$85,$E$6)</f>
        <v>575.68478628725529</v>
      </c>
      <c r="F44" s="243">
        <f t="shared" si="0"/>
        <v>575.68514628725529</v>
      </c>
      <c r="G44" s="243">
        <f t="shared" si="1"/>
        <v>26</v>
      </c>
      <c r="H44" s="245" t="str">
        <f t="shared" si="2"/>
        <v xml:space="preserve">Casey </v>
      </c>
      <c r="I44" s="245">
        <f t="shared" si="3"/>
        <v>523.5307280262557</v>
      </c>
      <c r="J44" s="239"/>
      <c r="K44" s="79"/>
      <c r="L44" s="173"/>
      <c r="M44" s="173"/>
      <c r="N44" s="173"/>
      <c r="O44" s="173"/>
    </row>
    <row r="45" spans="1:15">
      <c r="A45" s="239"/>
      <c r="B45" s="243">
        <v>37</v>
      </c>
      <c r="C45" s="243">
        <v>37</v>
      </c>
      <c r="D45" s="244" t="s">
        <v>62</v>
      </c>
      <c r="E45" s="243">
        <f>VLOOKUP(B45,Data!$A$5:$T$85,$E$6)</f>
        <v>778.75745982092235</v>
      </c>
      <c r="F45" s="243">
        <f t="shared" si="0"/>
        <v>778.75782982092232</v>
      </c>
      <c r="G45" s="243">
        <f t="shared" si="1"/>
        <v>3</v>
      </c>
      <c r="H45" s="245" t="str">
        <f t="shared" si="2"/>
        <v xml:space="preserve">Southern Grampians </v>
      </c>
      <c r="I45" s="245">
        <f t="shared" si="3"/>
        <v>491.33869181392754</v>
      </c>
      <c r="J45" s="239"/>
      <c r="K45" s="79"/>
      <c r="L45" s="173"/>
      <c r="M45" s="173"/>
      <c r="N45" s="173"/>
      <c r="O45" s="173"/>
    </row>
    <row r="46" spans="1:15">
      <c r="A46" s="239"/>
      <c r="B46" s="243">
        <v>38</v>
      </c>
      <c r="C46" s="243">
        <v>38</v>
      </c>
      <c r="D46" s="244" t="s">
        <v>63</v>
      </c>
      <c r="E46" s="243">
        <f>VLOOKUP(B46,Data!$A$5:$T$85,$E$6)</f>
        <v>0</v>
      </c>
      <c r="F46" s="243">
        <f t="shared" si="0"/>
        <v>3.8000000000000002E-4</v>
      </c>
      <c r="G46" s="243">
        <f t="shared" si="1"/>
        <v>75</v>
      </c>
      <c r="H46" s="245" t="str">
        <f t="shared" si="2"/>
        <v xml:space="preserve">Benalla </v>
      </c>
      <c r="I46" s="245">
        <f t="shared" si="3"/>
        <v>483.34662323122092</v>
      </c>
      <c r="J46" s="239"/>
      <c r="K46" s="79"/>
      <c r="L46" s="173"/>
      <c r="M46" s="173"/>
      <c r="N46" s="173"/>
      <c r="O46" s="173"/>
    </row>
    <row r="47" spans="1:15">
      <c r="A47" s="239"/>
      <c r="B47" s="243">
        <v>39</v>
      </c>
      <c r="C47" s="243">
        <v>39</v>
      </c>
      <c r="D47" s="244" t="s">
        <v>64</v>
      </c>
      <c r="E47" s="243">
        <f>VLOOKUP(B47,Data!$A$5:$T$85,$E$6)</f>
        <v>254.96962457171273</v>
      </c>
      <c r="F47" s="243">
        <f t="shared" si="0"/>
        <v>254.97001457171274</v>
      </c>
      <c r="G47" s="243">
        <f t="shared" si="1"/>
        <v>53</v>
      </c>
      <c r="H47" s="245" t="str">
        <f t="shared" si="2"/>
        <v xml:space="preserve">Colac-Otway </v>
      </c>
      <c r="I47" s="245">
        <f t="shared" si="3"/>
        <v>470.97948491351343</v>
      </c>
      <c r="J47" s="239"/>
      <c r="K47" s="79"/>
      <c r="L47" s="173"/>
      <c r="M47" s="173"/>
      <c r="N47" s="173"/>
      <c r="O47" s="173"/>
    </row>
    <row r="48" spans="1:15">
      <c r="A48" s="239"/>
      <c r="B48" s="243">
        <v>40</v>
      </c>
      <c r="C48" s="243">
        <v>40</v>
      </c>
      <c r="D48" s="244" t="s">
        <v>65</v>
      </c>
      <c r="E48" s="243">
        <f>VLOOKUP(B48,Data!$A$5:$T$85,$E$6)</f>
        <v>555.69711007238811</v>
      </c>
      <c r="F48" s="243">
        <f t="shared" si="0"/>
        <v>555.69751007238813</v>
      </c>
      <c r="G48" s="243">
        <f t="shared" si="1"/>
        <v>31</v>
      </c>
      <c r="H48" s="245" t="str">
        <f t="shared" si="2"/>
        <v xml:space="preserve">Glenelg </v>
      </c>
      <c r="I48" s="245">
        <f t="shared" si="3"/>
        <v>446.13076821649537</v>
      </c>
      <c r="J48" s="239"/>
      <c r="K48" s="79"/>
      <c r="L48" s="173"/>
      <c r="M48" s="173"/>
      <c r="N48" s="173"/>
      <c r="O48" s="173"/>
    </row>
    <row r="49" spans="1:15">
      <c r="A49" s="239"/>
      <c r="B49" s="243">
        <v>41</v>
      </c>
      <c r="C49" s="243">
        <v>41</v>
      </c>
      <c r="D49" s="244" t="s">
        <v>66</v>
      </c>
      <c r="E49" s="243">
        <f>VLOOKUP(B49,Data!$A$5:$T$85,$E$6)</f>
        <v>216.69349245141223</v>
      </c>
      <c r="F49" s="243">
        <f t="shared" si="0"/>
        <v>216.69390245141221</v>
      </c>
      <c r="G49" s="243">
        <f t="shared" si="1"/>
        <v>58</v>
      </c>
      <c r="H49" s="245" t="str">
        <f t="shared" si="2"/>
        <v xml:space="preserve">Northern Grampians </v>
      </c>
      <c r="I49" s="245">
        <f t="shared" si="3"/>
        <v>438.9593455338424</v>
      </c>
      <c r="J49" s="239"/>
      <c r="K49" s="79"/>
      <c r="L49" s="173"/>
      <c r="M49" s="173"/>
      <c r="N49" s="173"/>
      <c r="O49" s="173"/>
    </row>
    <row r="50" spans="1:15">
      <c r="A50" s="239"/>
      <c r="B50" s="243">
        <v>42</v>
      </c>
      <c r="C50" s="243">
        <v>42</v>
      </c>
      <c r="D50" s="244" t="s">
        <v>67</v>
      </c>
      <c r="E50" s="243">
        <f>VLOOKUP(B50,Data!$A$5:$T$85,$E$6)</f>
        <v>752.67167537479452</v>
      </c>
      <c r="F50" s="243">
        <f t="shared" si="0"/>
        <v>752.67209537479448</v>
      </c>
      <c r="G50" s="243">
        <f t="shared" si="1"/>
        <v>5</v>
      </c>
      <c r="H50" s="245" t="str">
        <f t="shared" si="2"/>
        <v xml:space="preserve">Moreland </v>
      </c>
      <c r="I50" s="245">
        <f t="shared" si="3"/>
        <v>428.75381924834983</v>
      </c>
      <c r="J50" s="239"/>
      <c r="K50" s="79"/>
      <c r="L50" s="173"/>
      <c r="M50" s="173"/>
      <c r="N50" s="173"/>
      <c r="O50" s="173"/>
    </row>
    <row r="51" spans="1:15">
      <c r="A51" s="239"/>
      <c r="B51" s="243">
        <v>43</v>
      </c>
      <c r="C51" s="243">
        <v>43</v>
      </c>
      <c r="D51" s="244" t="s">
        <v>68</v>
      </c>
      <c r="E51" s="243">
        <f>VLOOKUP(B51,Data!$A$5:$T$85,$E$6)</f>
        <v>685.56462022756671</v>
      </c>
      <c r="F51" s="243">
        <f t="shared" si="0"/>
        <v>685.56505022756676</v>
      </c>
      <c r="G51" s="243">
        <f t="shared" si="1"/>
        <v>11</v>
      </c>
      <c r="H51" s="245" t="str">
        <f t="shared" si="2"/>
        <v xml:space="preserve">Baw Baw </v>
      </c>
      <c r="I51" s="245">
        <f t="shared" si="3"/>
        <v>426.64514847128879</v>
      </c>
      <c r="J51" s="239"/>
      <c r="K51" s="79"/>
      <c r="L51" s="173"/>
      <c r="M51" s="173"/>
      <c r="N51" s="173"/>
      <c r="O51" s="173"/>
    </row>
    <row r="52" spans="1:15">
      <c r="A52" s="239"/>
      <c r="B52" s="243">
        <v>44</v>
      </c>
      <c r="C52" s="243">
        <v>44</v>
      </c>
      <c r="D52" s="244" t="s">
        <v>69</v>
      </c>
      <c r="E52" s="243">
        <f>VLOOKUP(B52,Data!$A$5:$T$85,$E$6)</f>
        <v>546.73919577930337</v>
      </c>
      <c r="F52" s="243">
        <f t="shared" si="0"/>
        <v>546.7396357793034</v>
      </c>
      <c r="G52" s="243">
        <f t="shared" si="1"/>
        <v>33</v>
      </c>
      <c r="H52" s="245" t="str">
        <f t="shared" si="2"/>
        <v xml:space="preserve">Alpine </v>
      </c>
      <c r="I52" s="245">
        <f t="shared" si="3"/>
        <v>423.74241605263734</v>
      </c>
      <c r="J52" s="239"/>
      <c r="K52" s="79"/>
      <c r="L52" s="173"/>
      <c r="M52" s="173"/>
      <c r="N52" s="173"/>
      <c r="O52" s="173"/>
    </row>
    <row r="53" spans="1:15">
      <c r="A53" s="239"/>
      <c r="B53" s="243">
        <v>45</v>
      </c>
      <c r="C53" s="243">
        <v>45</v>
      </c>
      <c r="D53" s="244" t="s">
        <v>70</v>
      </c>
      <c r="E53" s="243">
        <f>VLOOKUP(B53,Data!$A$5:$T$85,$E$6)</f>
        <v>590.01180443416172</v>
      </c>
      <c r="F53" s="243">
        <f t="shared" si="0"/>
        <v>590.01225443416172</v>
      </c>
      <c r="G53" s="243">
        <f t="shared" si="1"/>
        <v>25</v>
      </c>
      <c r="H53" s="245" t="str">
        <f t="shared" si="2"/>
        <v xml:space="preserve">Wangaratta </v>
      </c>
      <c r="I53" s="245">
        <f t="shared" si="3"/>
        <v>388.84827084260337</v>
      </c>
      <c r="J53" s="239"/>
      <c r="K53" s="79"/>
      <c r="L53" s="173"/>
      <c r="M53" s="173"/>
      <c r="N53" s="173"/>
      <c r="O53" s="173"/>
    </row>
    <row r="54" spans="1:15">
      <c r="A54" s="239"/>
      <c r="B54" s="243">
        <v>46</v>
      </c>
      <c r="C54" s="243">
        <v>46</v>
      </c>
      <c r="D54" s="244" t="s">
        <v>71</v>
      </c>
      <c r="E54" s="243">
        <f>VLOOKUP(B54,Data!$A$5:$T$85,$E$6)</f>
        <v>699.69287114449901</v>
      </c>
      <c r="F54" s="243">
        <f t="shared" si="0"/>
        <v>699.69333114449898</v>
      </c>
      <c r="G54" s="243">
        <f t="shared" si="1"/>
        <v>7</v>
      </c>
      <c r="H54" s="245" t="str">
        <f t="shared" si="2"/>
        <v xml:space="preserve">Whitehorse </v>
      </c>
      <c r="I54" s="245">
        <f t="shared" si="3"/>
        <v>376.92578747920129</v>
      </c>
      <c r="J54" s="239"/>
      <c r="K54" s="79"/>
      <c r="L54" s="173"/>
      <c r="M54" s="173"/>
      <c r="N54" s="173"/>
      <c r="O54" s="173"/>
    </row>
    <row r="55" spans="1:15">
      <c r="A55" s="239"/>
      <c r="B55" s="243">
        <v>47</v>
      </c>
      <c r="C55" s="243">
        <v>47</v>
      </c>
      <c r="D55" s="244" t="s">
        <v>72</v>
      </c>
      <c r="E55" s="243">
        <f>VLOOKUP(B55,Data!$A$5:$T$85,$E$6)</f>
        <v>552.08738949566418</v>
      </c>
      <c r="F55" s="243">
        <f t="shared" si="0"/>
        <v>552.08785949566413</v>
      </c>
      <c r="G55" s="243">
        <f t="shared" si="1"/>
        <v>32</v>
      </c>
      <c r="H55" s="245" t="str">
        <f t="shared" si="2"/>
        <v xml:space="preserve">Moorabool </v>
      </c>
      <c r="I55" s="245">
        <f t="shared" si="3"/>
        <v>366.74231554606769</v>
      </c>
      <c r="J55" s="239"/>
      <c r="K55" s="79"/>
      <c r="L55" s="173"/>
      <c r="M55" s="173"/>
      <c r="N55" s="173"/>
      <c r="O55" s="173"/>
    </row>
    <row r="56" spans="1:15">
      <c r="A56" s="239"/>
      <c r="B56" s="243">
        <v>48</v>
      </c>
      <c r="C56" s="243">
        <v>48</v>
      </c>
      <c r="D56" s="244" t="s">
        <v>73</v>
      </c>
      <c r="E56" s="243">
        <f>VLOOKUP(B56,Data!$A$5:$T$85,$E$6)</f>
        <v>173.35050375446082</v>
      </c>
      <c r="F56" s="243">
        <f t="shared" si="0"/>
        <v>173.35098375446083</v>
      </c>
      <c r="G56" s="243">
        <f t="shared" si="1"/>
        <v>63</v>
      </c>
      <c r="H56" s="245" t="str">
        <f t="shared" si="2"/>
        <v xml:space="preserve">Cardinia </v>
      </c>
      <c r="I56" s="245">
        <f t="shared" si="3"/>
        <v>355.5343228988956</v>
      </c>
      <c r="J56" s="239"/>
      <c r="K56" s="79"/>
      <c r="L56" s="173"/>
      <c r="M56" s="173"/>
      <c r="N56" s="173"/>
      <c r="O56" s="173"/>
    </row>
    <row r="57" spans="1:15">
      <c r="A57" s="239"/>
      <c r="B57" s="243">
        <v>49</v>
      </c>
      <c r="C57" s="243">
        <v>49</v>
      </c>
      <c r="D57" s="244" t="s">
        <v>74</v>
      </c>
      <c r="E57" s="243">
        <f>VLOOKUP(B57,Data!$A$5:$T$85,$E$6)</f>
        <v>685.90752121803405</v>
      </c>
      <c r="F57" s="243">
        <f t="shared" si="0"/>
        <v>685.90801121803406</v>
      </c>
      <c r="G57" s="243">
        <f t="shared" si="1"/>
        <v>10</v>
      </c>
      <c r="H57" s="245" t="str">
        <f t="shared" si="2"/>
        <v xml:space="preserve">Yarra </v>
      </c>
      <c r="I57" s="245">
        <f t="shared" si="3"/>
        <v>352.66372891334589</v>
      </c>
      <c r="J57" s="239"/>
      <c r="K57" s="79"/>
      <c r="L57" s="173"/>
      <c r="M57" s="173"/>
      <c r="N57" s="173"/>
      <c r="O57" s="173"/>
    </row>
    <row r="58" spans="1:15">
      <c r="A58" s="239"/>
      <c r="B58" s="243">
        <v>50</v>
      </c>
      <c r="C58" s="243">
        <v>50</v>
      </c>
      <c r="D58" s="244" t="s">
        <v>75</v>
      </c>
      <c r="E58" s="243">
        <f>VLOOKUP(B58,Data!$A$5:$T$85,$E$6)</f>
        <v>754.414038014276</v>
      </c>
      <c r="F58" s="243">
        <f t="shared" si="0"/>
        <v>754.41453801427599</v>
      </c>
      <c r="G58" s="243">
        <f t="shared" si="1"/>
        <v>4</v>
      </c>
      <c r="H58" s="245" t="str">
        <f t="shared" si="2"/>
        <v xml:space="preserve">Campaspe </v>
      </c>
      <c r="I58" s="245">
        <f t="shared" si="3"/>
        <v>299.78579819019876</v>
      </c>
      <c r="J58" s="239"/>
      <c r="K58" s="79"/>
      <c r="L58" s="173"/>
      <c r="M58" s="173"/>
      <c r="N58" s="173"/>
      <c r="O58" s="173"/>
    </row>
    <row r="59" spans="1:15">
      <c r="A59" s="239"/>
      <c r="B59" s="243">
        <v>51</v>
      </c>
      <c r="C59" s="243">
        <v>51</v>
      </c>
      <c r="D59" s="244" t="s">
        <v>76</v>
      </c>
      <c r="E59" s="243">
        <f>VLOOKUP(B59,Data!$A$5:$T$85,$E$6)</f>
        <v>366.74231554606769</v>
      </c>
      <c r="F59" s="243">
        <f t="shared" si="0"/>
        <v>366.74282554606771</v>
      </c>
      <c r="G59" s="243">
        <f t="shared" si="1"/>
        <v>47</v>
      </c>
      <c r="H59" s="245" t="str">
        <f t="shared" si="2"/>
        <v xml:space="preserve">Port Phillip </v>
      </c>
      <c r="I59" s="245">
        <f t="shared" si="3"/>
        <v>287.2870466471951</v>
      </c>
      <c r="J59" s="239"/>
      <c r="K59" s="79"/>
      <c r="L59" s="173"/>
      <c r="M59" s="173"/>
      <c r="N59" s="173"/>
      <c r="O59" s="173"/>
    </row>
    <row r="60" spans="1:15">
      <c r="A60" s="239"/>
      <c r="B60" s="243">
        <v>52</v>
      </c>
      <c r="C60" s="243">
        <v>52</v>
      </c>
      <c r="D60" s="244" t="s">
        <v>77</v>
      </c>
      <c r="E60" s="243">
        <f>VLOOKUP(B60,Data!$A$5:$T$85,$E$6)</f>
        <v>428.75381924834983</v>
      </c>
      <c r="F60" s="243">
        <f t="shared" si="0"/>
        <v>428.75433924834982</v>
      </c>
      <c r="G60" s="243">
        <f t="shared" si="1"/>
        <v>42</v>
      </c>
      <c r="H60" s="245" t="str">
        <f t="shared" si="2"/>
        <v xml:space="preserve">South Gippsland </v>
      </c>
      <c r="I60" s="245">
        <f t="shared" si="3"/>
        <v>274.29277548174019</v>
      </c>
      <c r="J60" s="239"/>
      <c r="K60" s="79"/>
      <c r="L60" s="173"/>
      <c r="M60" s="173"/>
      <c r="N60" s="173"/>
      <c r="O60" s="173"/>
    </row>
    <row r="61" spans="1:15">
      <c r="A61" s="239"/>
      <c r="B61" s="243">
        <v>53</v>
      </c>
      <c r="C61" s="243">
        <v>53</v>
      </c>
      <c r="D61" s="244" t="s">
        <v>78</v>
      </c>
      <c r="E61" s="243">
        <f>VLOOKUP(B61,Data!$A$5:$T$85,$E$6)</f>
        <v>631.38686041720678</v>
      </c>
      <c r="F61" s="243">
        <f t="shared" si="0"/>
        <v>631.3873904172068</v>
      </c>
      <c r="G61" s="243">
        <f t="shared" si="1"/>
        <v>18</v>
      </c>
      <c r="H61" s="245" t="str">
        <f t="shared" si="2"/>
        <v xml:space="preserve">Macedon Ranges </v>
      </c>
      <c r="I61" s="245">
        <f t="shared" si="3"/>
        <v>254.96962457171273</v>
      </c>
      <c r="J61" s="239"/>
      <c r="K61" s="79"/>
      <c r="L61" s="173"/>
      <c r="M61" s="173"/>
      <c r="N61" s="173"/>
      <c r="O61" s="173"/>
    </row>
    <row r="62" spans="1:15">
      <c r="A62" s="239"/>
      <c r="B62" s="243">
        <v>54</v>
      </c>
      <c r="C62" s="243">
        <v>54</v>
      </c>
      <c r="D62" s="244" t="s">
        <v>79</v>
      </c>
      <c r="E62" s="243">
        <f>VLOOKUP(B62,Data!$A$5:$T$85,$E$6)</f>
        <v>186.53251482370152</v>
      </c>
      <c r="F62" s="243">
        <f t="shared" si="0"/>
        <v>186.53305482370152</v>
      </c>
      <c r="G62" s="243">
        <f t="shared" si="1"/>
        <v>62</v>
      </c>
      <c r="H62" s="245" t="str">
        <f t="shared" si="2"/>
        <v xml:space="preserve">Wodonga </v>
      </c>
      <c r="I62" s="245">
        <f t="shared" si="3"/>
        <v>241.00184319462673</v>
      </c>
      <c r="J62" s="239"/>
      <c r="K62" s="79"/>
      <c r="L62" s="173"/>
      <c r="M62" s="173"/>
      <c r="N62" s="173"/>
      <c r="O62" s="173"/>
    </row>
    <row r="63" spans="1:15">
      <c r="A63" s="239"/>
      <c r="B63" s="243">
        <v>55</v>
      </c>
      <c r="C63" s="243">
        <v>55</v>
      </c>
      <c r="D63" s="244" t="s">
        <v>80</v>
      </c>
      <c r="E63" s="243">
        <f>VLOOKUP(B63,Data!$A$5:$T$85,$E$6)</f>
        <v>0</v>
      </c>
      <c r="F63" s="243">
        <f t="shared" si="0"/>
        <v>5.5000000000000003E-4</v>
      </c>
      <c r="G63" s="243">
        <f t="shared" si="1"/>
        <v>74</v>
      </c>
      <c r="H63" s="245" t="str">
        <f t="shared" si="2"/>
        <v xml:space="preserve">Yarra Ranges </v>
      </c>
      <c r="I63" s="245">
        <f t="shared" si="3"/>
        <v>239.7278076825306</v>
      </c>
      <c r="J63" s="239"/>
      <c r="K63" s="79"/>
      <c r="L63" s="173"/>
      <c r="M63" s="173"/>
      <c r="N63" s="173"/>
      <c r="O63" s="173"/>
    </row>
    <row r="64" spans="1:15">
      <c r="A64" s="239"/>
      <c r="B64" s="243">
        <v>56</v>
      </c>
      <c r="C64" s="243">
        <v>56</v>
      </c>
      <c r="D64" s="244" t="s">
        <v>81</v>
      </c>
      <c r="E64" s="243">
        <f>VLOOKUP(B64,Data!$A$5:$T$85,$E$6)</f>
        <v>122.60345502462759</v>
      </c>
      <c r="F64" s="243">
        <f t="shared" si="0"/>
        <v>122.60401502462759</v>
      </c>
      <c r="G64" s="243">
        <f t="shared" si="1"/>
        <v>68</v>
      </c>
      <c r="H64" s="245" t="str">
        <f t="shared" si="2"/>
        <v xml:space="preserve">Gannawarra </v>
      </c>
      <c r="I64" s="245">
        <f t="shared" si="3"/>
        <v>230.37670549144519</v>
      </c>
      <c r="J64" s="239"/>
      <c r="K64" s="79"/>
      <c r="L64" s="173"/>
      <c r="M64" s="173"/>
      <c r="N64" s="173"/>
      <c r="O64" s="173"/>
    </row>
    <row r="65" spans="1:15">
      <c r="A65" s="239"/>
      <c r="B65" s="243">
        <v>57</v>
      </c>
      <c r="C65" s="243">
        <v>57</v>
      </c>
      <c r="D65" s="244" t="s">
        <v>82</v>
      </c>
      <c r="E65" s="243">
        <f>VLOOKUP(B65,Data!$A$5:$T$85,$E$6)</f>
        <v>199.46329407266086</v>
      </c>
      <c r="F65" s="243">
        <f t="shared" si="0"/>
        <v>199.46386407266087</v>
      </c>
      <c r="G65" s="243">
        <f t="shared" si="1"/>
        <v>61</v>
      </c>
      <c r="H65" s="245" t="str">
        <f t="shared" si="2"/>
        <v xml:space="preserve">Corangamite </v>
      </c>
      <c r="I65" s="245">
        <f t="shared" si="3"/>
        <v>220.26601021331925</v>
      </c>
      <c r="J65" s="239"/>
      <c r="K65" s="79"/>
      <c r="L65" s="173"/>
      <c r="M65" s="173"/>
      <c r="N65" s="173"/>
      <c r="O65" s="173"/>
    </row>
    <row r="66" spans="1:15">
      <c r="A66" s="239"/>
      <c r="B66" s="243">
        <v>58</v>
      </c>
      <c r="C66" s="243">
        <v>58</v>
      </c>
      <c r="D66" s="244" t="s">
        <v>83</v>
      </c>
      <c r="E66" s="243">
        <f>VLOOKUP(B66,Data!$A$5:$T$85,$E$6)</f>
        <v>438.9593455338424</v>
      </c>
      <c r="F66" s="243">
        <f t="shared" si="0"/>
        <v>438.95992553384241</v>
      </c>
      <c r="G66" s="243">
        <f t="shared" si="1"/>
        <v>41</v>
      </c>
      <c r="H66" s="245" t="str">
        <f t="shared" si="2"/>
        <v xml:space="preserve">Mansfield </v>
      </c>
      <c r="I66" s="245">
        <f t="shared" si="3"/>
        <v>216.69349245141223</v>
      </c>
      <c r="J66" s="239"/>
      <c r="K66" s="79"/>
      <c r="L66" s="173"/>
      <c r="M66" s="173"/>
      <c r="N66" s="173"/>
      <c r="O66" s="173"/>
    </row>
    <row r="67" spans="1:15">
      <c r="A67" s="239"/>
      <c r="B67" s="243">
        <v>59</v>
      </c>
      <c r="C67" s="243">
        <v>59</v>
      </c>
      <c r="D67" s="244" t="s">
        <v>84</v>
      </c>
      <c r="E67" s="243">
        <f>VLOOKUP(B67,Data!$A$5:$T$85,$E$6)</f>
        <v>287.2870466471951</v>
      </c>
      <c r="F67" s="243">
        <f t="shared" si="0"/>
        <v>287.28763664719509</v>
      </c>
      <c r="G67" s="243">
        <f t="shared" si="1"/>
        <v>51</v>
      </c>
      <c r="H67" s="245" t="str">
        <f t="shared" si="2"/>
        <v xml:space="preserve">Hepburn </v>
      </c>
      <c r="I67" s="245">
        <f t="shared" si="3"/>
        <v>205.73197737593026</v>
      </c>
      <c r="J67" s="239"/>
      <c r="K67" s="79"/>
      <c r="L67" s="173"/>
      <c r="M67" s="173"/>
      <c r="N67" s="173"/>
      <c r="O67" s="173"/>
    </row>
    <row r="68" spans="1:15">
      <c r="A68" s="239"/>
      <c r="B68" s="243">
        <v>60</v>
      </c>
      <c r="C68" s="243">
        <v>60</v>
      </c>
      <c r="D68" s="244" t="s">
        <v>85</v>
      </c>
      <c r="E68" s="243">
        <f>VLOOKUP(B68,Data!$A$5:$T$85,$E$6)</f>
        <v>0</v>
      </c>
      <c r="F68" s="243">
        <f t="shared" si="0"/>
        <v>6.0000000000000006E-4</v>
      </c>
      <c r="G68" s="243">
        <f t="shared" si="1"/>
        <v>73</v>
      </c>
      <c r="H68" s="245" t="str">
        <f t="shared" si="2"/>
        <v xml:space="preserve">Stonnington </v>
      </c>
      <c r="I68" s="245">
        <f t="shared" si="3"/>
        <v>200.70229180926901</v>
      </c>
      <c r="J68" s="239"/>
      <c r="K68" s="79"/>
      <c r="L68" s="173"/>
      <c r="M68" s="173"/>
      <c r="N68" s="173"/>
      <c r="O68" s="173"/>
    </row>
    <row r="69" spans="1:15">
      <c r="A69" s="239"/>
      <c r="B69" s="243">
        <v>61</v>
      </c>
      <c r="C69" s="243">
        <v>61</v>
      </c>
      <c r="D69" s="244" t="s">
        <v>86</v>
      </c>
      <c r="E69" s="243">
        <f>VLOOKUP(B69,Data!$A$5:$T$85,$E$6)</f>
        <v>0</v>
      </c>
      <c r="F69" s="243">
        <f t="shared" si="0"/>
        <v>6.1000000000000008E-4</v>
      </c>
      <c r="G69" s="243">
        <f t="shared" si="1"/>
        <v>72</v>
      </c>
      <c r="H69" s="245" t="str">
        <f t="shared" si="2"/>
        <v xml:space="preserve">Nillumbik </v>
      </c>
      <c r="I69" s="245">
        <f t="shared" si="3"/>
        <v>199.46329407266086</v>
      </c>
      <c r="J69" s="239"/>
      <c r="K69" s="79"/>
      <c r="L69" s="173"/>
      <c r="M69" s="173"/>
      <c r="N69" s="173"/>
      <c r="O69" s="173"/>
    </row>
    <row r="70" spans="1:15">
      <c r="A70" s="239"/>
      <c r="B70" s="243">
        <v>62</v>
      </c>
      <c r="C70" s="243">
        <v>62</v>
      </c>
      <c r="D70" s="244" t="s">
        <v>87</v>
      </c>
      <c r="E70" s="243">
        <f>VLOOKUP(B70,Data!$A$5:$T$85,$E$6)</f>
        <v>274.29277548174019</v>
      </c>
      <c r="F70" s="243">
        <f t="shared" si="0"/>
        <v>274.29339548174022</v>
      </c>
      <c r="G70" s="243">
        <f t="shared" si="1"/>
        <v>52</v>
      </c>
      <c r="H70" s="245" t="str">
        <f t="shared" si="2"/>
        <v xml:space="preserve">Mount Alexander </v>
      </c>
      <c r="I70" s="245">
        <f t="shared" si="3"/>
        <v>186.53251482370152</v>
      </c>
      <c r="J70" s="239"/>
      <c r="K70" s="79"/>
      <c r="L70" s="173"/>
      <c r="M70" s="173"/>
      <c r="N70" s="173"/>
      <c r="O70" s="173"/>
    </row>
    <row r="71" spans="1:15">
      <c r="A71" s="239"/>
      <c r="B71" s="243">
        <v>63</v>
      </c>
      <c r="C71" s="243">
        <v>63</v>
      </c>
      <c r="D71" s="244" t="s">
        <v>88</v>
      </c>
      <c r="E71" s="243">
        <f>VLOOKUP(B71,Data!$A$5:$T$85,$E$6)</f>
        <v>491.33869181392754</v>
      </c>
      <c r="F71" s="243">
        <f t="shared" si="0"/>
        <v>491.33932181392754</v>
      </c>
      <c r="G71" s="243">
        <f t="shared" si="1"/>
        <v>37</v>
      </c>
      <c r="H71" s="245" t="str">
        <f t="shared" si="2"/>
        <v xml:space="preserve">Moira </v>
      </c>
      <c r="I71" s="245">
        <f t="shared" si="3"/>
        <v>173.35050375446082</v>
      </c>
      <c r="J71" s="239"/>
      <c r="K71" s="79"/>
      <c r="L71" s="173"/>
      <c r="M71" s="173"/>
      <c r="N71" s="173"/>
      <c r="O71" s="173"/>
    </row>
    <row r="72" spans="1:15">
      <c r="A72" s="239"/>
      <c r="B72" s="243">
        <v>64</v>
      </c>
      <c r="C72" s="243">
        <v>64</v>
      </c>
      <c r="D72" s="244" t="s">
        <v>89</v>
      </c>
      <c r="E72" s="243">
        <f>VLOOKUP(B72,Data!$A$5:$T$85,$E$6)</f>
        <v>200.70229180926901</v>
      </c>
      <c r="F72" s="243">
        <f t="shared" si="0"/>
        <v>200.70293180926902</v>
      </c>
      <c r="G72" s="243">
        <f t="shared" si="1"/>
        <v>60</v>
      </c>
      <c r="H72" s="245" t="str">
        <f t="shared" si="2"/>
        <v xml:space="preserve">Strathbogie </v>
      </c>
      <c r="I72" s="245">
        <f t="shared" si="3"/>
        <v>169.44790935586451</v>
      </c>
      <c r="J72" s="239"/>
      <c r="K72" s="79"/>
      <c r="L72" s="173"/>
      <c r="M72" s="173"/>
      <c r="N72" s="173"/>
      <c r="O72" s="173"/>
    </row>
    <row r="73" spans="1:15">
      <c r="A73" s="239"/>
      <c r="B73" s="243">
        <v>65</v>
      </c>
      <c r="C73" s="243">
        <v>65</v>
      </c>
      <c r="D73" s="244" t="s">
        <v>90</v>
      </c>
      <c r="E73" s="243">
        <f>VLOOKUP(B73,Data!$A$5:$T$85,$E$6)</f>
        <v>169.44790935586451</v>
      </c>
      <c r="F73" s="243">
        <f t="shared" ref="F73:F87" si="4">E73+0.00001*B73</f>
        <v>169.44855935586452</v>
      </c>
      <c r="G73" s="243">
        <f t="shared" si="1"/>
        <v>64</v>
      </c>
      <c r="H73" s="245" t="str">
        <f t="shared" si="2"/>
        <v xml:space="preserve">Bayside </v>
      </c>
      <c r="I73" s="245">
        <f t="shared" si="3"/>
        <v>167.5004220061162</v>
      </c>
      <c r="J73" s="239"/>
      <c r="K73" s="79"/>
      <c r="L73" s="173"/>
      <c r="M73" s="173"/>
      <c r="N73" s="173"/>
      <c r="O73" s="173"/>
    </row>
    <row r="74" spans="1:15">
      <c r="A74" s="239"/>
      <c r="B74" s="243">
        <v>66</v>
      </c>
      <c r="C74" s="243">
        <v>66</v>
      </c>
      <c r="D74" s="244" t="s">
        <v>91</v>
      </c>
      <c r="E74" s="243">
        <f>VLOOKUP(B74,Data!$A$5:$T$85,$E$6)</f>
        <v>145.78714399005511</v>
      </c>
      <c r="F74" s="243">
        <f t="shared" si="4"/>
        <v>145.78780399005512</v>
      </c>
      <c r="G74" s="243">
        <f t="shared" ref="G74:G87" si="5">RANK(F74,F$9:F$87)</f>
        <v>66</v>
      </c>
      <c r="H74" s="245" t="str">
        <f t="shared" ref="H74:H87" si="6">VLOOKUP(MATCH(C74,G$9:G$87,0),$B$9:$G$87,3)</f>
        <v xml:space="preserve">Surf Coast </v>
      </c>
      <c r="I74" s="245">
        <f t="shared" ref="I74:I87" si="7">VLOOKUP(MATCH(C74,G$9:G$87,0),$B$9:$G$87,4)</f>
        <v>145.78714399005511</v>
      </c>
      <c r="J74" s="239"/>
      <c r="K74" s="79"/>
      <c r="L74" s="173"/>
      <c r="M74" s="173"/>
      <c r="N74" s="173"/>
      <c r="O74" s="173"/>
    </row>
    <row r="75" spans="1:15">
      <c r="A75" s="239"/>
      <c r="B75" s="243">
        <v>67</v>
      </c>
      <c r="C75" s="243">
        <v>67</v>
      </c>
      <c r="D75" s="244" t="s">
        <v>92</v>
      </c>
      <c r="E75" s="243">
        <f>VLOOKUP(B75,Data!$A$5:$T$85,$E$6)</f>
        <v>528.30959679599732</v>
      </c>
      <c r="F75" s="243">
        <f t="shared" si="4"/>
        <v>528.31026679599734</v>
      </c>
      <c r="G75" s="243">
        <f t="shared" si="5"/>
        <v>35</v>
      </c>
      <c r="H75" s="245" t="str">
        <f t="shared" si="6"/>
        <v xml:space="preserve">Boroondara </v>
      </c>
      <c r="I75" s="245">
        <f t="shared" si="7"/>
        <v>142.59772776809572</v>
      </c>
      <c r="J75" s="239"/>
      <c r="K75" s="79"/>
      <c r="L75" s="173"/>
      <c r="M75" s="173"/>
      <c r="N75" s="173"/>
      <c r="O75" s="173"/>
    </row>
    <row r="76" spans="1:15">
      <c r="A76" s="239"/>
      <c r="B76" s="243">
        <v>68</v>
      </c>
      <c r="C76" s="243">
        <v>68</v>
      </c>
      <c r="D76" s="244" t="s">
        <v>93</v>
      </c>
      <c r="E76" s="243">
        <f>VLOOKUP(B76,Data!$A$5:$T$85,$E$6)</f>
        <v>44.244416198152166</v>
      </c>
      <c r="F76" s="243">
        <f t="shared" si="4"/>
        <v>44.245096198152169</v>
      </c>
      <c r="G76" s="243">
        <f t="shared" si="5"/>
        <v>69</v>
      </c>
      <c r="H76" s="245" t="str">
        <f t="shared" si="6"/>
        <v xml:space="preserve">Murrindindi </v>
      </c>
      <c r="I76" s="245">
        <f t="shared" si="7"/>
        <v>122.60345502462759</v>
      </c>
      <c r="J76" s="239"/>
      <c r="K76" s="79"/>
      <c r="L76" s="173"/>
      <c r="M76" s="173"/>
      <c r="N76" s="173"/>
      <c r="O76" s="173"/>
    </row>
    <row r="77" spans="1:15">
      <c r="A77" s="239"/>
      <c r="B77" s="243">
        <v>69</v>
      </c>
      <c r="C77" s="243">
        <v>69</v>
      </c>
      <c r="D77" s="244" t="s">
        <v>94</v>
      </c>
      <c r="E77" s="243">
        <f>VLOOKUP(B77,Data!$A$5:$T$85,$E$6)</f>
        <v>388.84827084260337</v>
      </c>
      <c r="F77" s="243">
        <f t="shared" si="4"/>
        <v>388.84896084260339</v>
      </c>
      <c r="G77" s="243">
        <f t="shared" si="5"/>
        <v>45</v>
      </c>
      <c r="H77" s="245" t="str">
        <f t="shared" si="6"/>
        <v xml:space="preserve">Towong </v>
      </c>
      <c r="I77" s="245">
        <f t="shared" si="7"/>
        <v>44.244416198152166</v>
      </c>
      <c r="J77" s="239"/>
      <c r="K77" s="79"/>
      <c r="L77" s="173"/>
      <c r="M77" s="173"/>
      <c r="N77" s="173"/>
      <c r="O77" s="173"/>
    </row>
    <row r="78" spans="1:15">
      <c r="A78" s="239"/>
      <c r="B78" s="243">
        <v>70</v>
      </c>
      <c r="C78" s="243">
        <v>70</v>
      </c>
      <c r="D78" s="244" t="s">
        <v>95</v>
      </c>
      <c r="E78" s="243">
        <f>VLOOKUP(B78,Data!$A$5:$T$85,$E$6)</f>
        <v>713.37714023571675</v>
      </c>
      <c r="F78" s="243">
        <f t="shared" si="4"/>
        <v>713.3778402357168</v>
      </c>
      <c r="G78" s="243">
        <f t="shared" si="5"/>
        <v>6</v>
      </c>
      <c r="H78" s="245" t="str">
        <f t="shared" si="6"/>
        <v xml:space="preserve">Yarriambiack </v>
      </c>
      <c r="I78" s="245">
        <f t="shared" si="7"/>
        <v>0</v>
      </c>
      <c r="J78" s="239"/>
      <c r="K78" s="79"/>
      <c r="L78" s="173"/>
      <c r="M78" s="173"/>
      <c r="N78" s="173"/>
      <c r="O78" s="173"/>
    </row>
    <row r="79" spans="1:15">
      <c r="A79" s="239"/>
      <c r="B79" s="243">
        <v>71</v>
      </c>
      <c r="C79" s="243">
        <v>71</v>
      </c>
      <c r="D79" s="244" t="s">
        <v>96</v>
      </c>
      <c r="E79" s="243">
        <f>VLOOKUP(B79,Data!$A$5:$T$85,$E$6)</f>
        <v>620.62279486964349</v>
      </c>
      <c r="F79" s="243">
        <f t="shared" si="4"/>
        <v>620.62350486964351</v>
      </c>
      <c r="G79" s="243">
        <f t="shared" si="5"/>
        <v>20</v>
      </c>
      <c r="H79" s="245" t="str">
        <f t="shared" si="6"/>
        <v xml:space="preserve">West Wimmera </v>
      </c>
      <c r="I79" s="245">
        <f t="shared" si="7"/>
        <v>0</v>
      </c>
      <c r="J79" s="239"/>
      <c r="K79" s="79"/>
      <c r="L79" s="173"/>
      <c r="M79" s="173"/>
      <c r="N79" s="173"/>
      <c r="O79" s="173"/>
    </row>
    <row r="80" spans="1:15">
      <c r="A80" s="239"/>
      <c r="B80" s="243">
        <v>72</v>
      </c>
      <c r="C80" s="243">
        <v>72</v>
      </c>
      <c r="D80" s="244" t="s">
        <v>97</v>
      </c>
      <c r="E80" s="243">
        <f>VLOOKUP(B80,Data!$A$5:$T$85,$E$6)</f>
        <v>0</v>
      </c>
      <c r="F80" s="243">
        <f t="shared" si="4"/>
        <v>7.2000000000000005E-4</v>
      </c>
      <c r="G80" s="243">
        <f t="shared" si="5"/>
        <v>71</v>
      </c>
      <c r="H80" s="245" t="str">
        <f t="shared" si="6"/>
        <v xml:space="preserve">Queenscliffe </v>
      </c>
      <c r="I80" s="245">
        <f t="shared" si="7"/>
        <v>0</v>
      </c>
      <c r="J80" s="239"/>
      <c r="K80" s="79"/>
      <c r="L80" s="173"/>
      <c r="M80" s="173"/>
      <c r="N80" s="173"/>
      <c r="O80" s="173"/>
    </row>
    <row r="81" spans="1:15">
      <c r="A81" s="239"/>
      <c r="B81" s="243">
        <v>73</v>
      </c>
      <c r="C81" s="243">
        <v>73</v>
      </c>
      <c r="D81" s="244" t="s">
        <v>173</v>
      </c>
      <c r="E81" s="243">
        <f>VLOOKUP(B81,Data!$A$5:$T$85,$E$6)</f>
        <v>376.92578747920129</v>
      </c>
      <c r="F81" s="243">
        <f t="shared" si="4"/>
        <v>376.92651747920127</v>
      </c>
      <c r="G81" s="243">
        <f t="shared" si="5"/>
        <v>46</v>
      </c>
      <c r="H81" s="245" t="str">
        <f t="shared" si="6"/>
        <v xml:space="preserve">Pyrenees </v>
      </c>
      <c r="I81" s="245">
        <f t="shared" si="7"/>
        <v>0</v>
      </c>
      <c r="J81" s="239"/>
      <c r="K81" s="79"/>
      <c r="L81" s="173"/>
      <c r="M81" s="173"/>
      <c r="N81" s="173"/>
      <c r="O81" s="173"/>
    </row>
    <row r="82" spans="1:15">
      <c r="A82" s="173"/>
      <c r="B82" s="243">
        <v>74</v>
      </c>
      <c r="C82" s="243">
        <v>74</v>
      </c>
      <c r="D82" s="244" t="s">
        <v>98</v>
      </c>
      <c r="E82" s="243">
        <f>VLOOKUP(B82,Data!$A$5:$T$85,$E$6)</f>
        <v>655.09147711588071</v>
      </c>
      <c r="F82" s="243">
        <f t="shared" si="4"/>
        <v>655.09221711588066</v>
      </c>
      <c r="G82" s="243">
        <f t="shared" si="5"/>
        <v>16</v>
      </c>
      <c r="H82" s="245" t="str">
        <f t="shared" si="6"/>
        <v xml:space="preserve">Moyne </v>
      </c>
      <c r="I82" s="245">
        <f t="shared" si="7"/>
        <v>0</v>
      </c>
      <c r="J82" s="173"/>
      <c r="K82" s="74"/>
      <c r="L82" s="173"/>
      <c r="M82" s="173"/>
      <c r="N82" s="173"/>
      <c r="O82" s="173"/>
    </row>
    <row r="83" spans="1:15">
      <c r="A83" s="173"/>
      <c r="B83" s="243">
        <v>75</v>
      </c>
      <c r="C83" s="243">
        <v>75</v>
      </c>
      <c r="D83" s="244" t="s">
        <v>99</v>
      </c>
      <c r="E83" s="243">
        <f>VLOOKUP(B83,Data!$A$5:$T$85,$E$6)</f>
        <v>241.00184319462673</v>
      </c>
      <c r="F83" s="243">
        <f t="shared" si="4"/>
        <v>241.00259319462674</v>
      </c>
      <c r="G83" s="243">
        <f t="shared" si="5"/>
        <v>54</v>
      </c>
      <c r="H83" s="245" t="str">
        <f t="shared" si="6"/>
        <v xml:space="preserve">Loddon </v>
      </c>
      <c r="I83" s="245">
        <f t="shared" si="7"/>
        <v>0</v>
      </c>
      <c r="J83" s="173"/>
      <c r="K83" s="74"/>
      <c r="L83" s="173"/>
      <c r="M83" s="173"/>
      <c r="N83" s="173"/>
      <c r="O83" s="173"/>
    </row>
    <row r="84" spans="1:15">
      <c r="A84" s="173"/>
      <c r="B84" s="243">
        <v>76</v>
      </c>
      <c r="C84" s="243">
        <v>76</v>
      </c>
      <c r="D84" s="244" t="s">
        <v>100</v>
      </c>
      <c r="E84" s="243">
        <f>VLOOKUP(B84,Data!$A$5:$T$85,$E$6)</f>
        <v>564.79211069450093</v>
      </c>
      <c r="F84" s="243">
        <f t="shared" si="4"/>
        <v>564.79287069450095</v>
      </c>
      <c r="G84" s="243">
        <f t="shared" si="5"/>
        <v>28</v>
      </c>
      <c r="H84" s="245" t="str">
        <f t="shared" si="6"/>
        <v xml:space="preserve">Indigo </v>
      </c>
      <c r="I84" s="245">
        <f t="shared" si="7"/>
        <v>0</v>
      </c>
      <c r="J84" s="173"/>
      <c r="K84" s="74"/>
      <c r="L84" s="173"/>
      <c r="M84" s="173"/>
      <c r="N84" s="173"/>
      <c r="O84" s="173"/>
    </row>
    <row r="85" spans="1:15">
      <c r="A85" s="173"/>
      <c r="B85" s="243">
        <v>77</v>
      </c>
      <c r="C85" s="243">
        <v>77</v>
      </c>
      <c r="D85" s="244" t="s">
        <v>176</v>
      </c>
      <c r="E85" s="243">
        <f>VLOOKUP(B85,Data!$A$5:$T$85,$E$6)</f>
        <v>352.66372891334589</v>
      </c>
      <c r="F85" s="243">
        <f t="shared" si="4"/>
        <v>352.66449891334588</v>
      </c>
      <c r="G85" s="243">
        <f t="shared" si="5"/>
        <v>49</v>
      </c>
      <c r="H85" s="245" t="str">
        <f t="shared" si="6"/>
        <v xml:space="preserve">Hindmarsh </v>
      </c>
      <c r="I85" s="245">
        <f t="shared" si="7"/>
        <v>0</v>
      </c>
      <c r="J85" s="173"/>
      <c r="K85" s="74"/>
      <c r="L85" s="173"/>
      <c r="M85" s="173"/>
      <c r="N85" s="173"/>
      <c r="O85" s="173"/>
    </row>
    <row r="86" spans="1:15">
      <c r="A86" s="173"/>
      <c r="B86" s="243">
        <v>78</v>
      </c>
      <c r="C86" s="243">
        <v>78</v>
      </c>
      <c r="D86" s="244" t="s">
        <v>101</v>
      </c>
      <c r="E86" s="243">
        <f>VLOOKUP(B86,Data!$A$5:$T$85,$E$6)</f>
        <v>239.7278076825306</v>
      </c>
      <c r="F86" s="243">
        <f t="shared" si="4"/>
        <v>239.72858768253059</v>
      </c>
      <c r="G86" s="243">
        <f t="shared" si="5"/>
        <v>55</v>
      </c>
      <c r="H86" s="245" t="str">
        <f t="shared" si="6"/>
        <v xml:space="preserve">Golden Plains </v>
      </c>
      <c r="I86" s="245">
        <f t="shared" si="7"/>
        <v>0</v>
      </c>
      <c r="J86" s="173"/>
      <c r="K86" s="74"/>
      <c r="L86" s="173"/>
      <c r="M86" s="173"/>
      <c r="N86" s="173"/>
      <c r="O86" s="173"/>
    </row>
    <row r="87" spans="1:15">
      <c r="A87" s="173"/>
      <c r="B87" s="243">
        <v>79</v>
      </c>
      <c r="C87" s="243">
        <v>79</v>
      </c>
      <c r="D87" s="244" t="s">
        <v>102</v>
      </c>
      <c r="E87" s="243">
        <f>VLOOKUP(B87,Data!$A$5:$T$85,$E$6)</f>
        <v>0</v>
      </c>
      <c r="F87" s="243">
        <f t="shared" si="4"/>
        <v>7.9000000000000001E-4</v>
      </c>
      <c r="G87" s="243">
        <f t="shared" si="5"/>
        <v>70</v>
      </c>
      <c r="H87" s="245" t="str">
        <f t="shared" si="6"/>
        <v xml:space="preserve">Buloke </v>
      </c>
      <c r="I87" s="245">
        <f t="shared" si="7"/>
        <v>0</v>
      </c>
      <c r="J87" s="173"/>
      <c r="K87" s="74"/>
      <c r="L87" s="173"/>
      <c r="M87" s="173"/>
      <c r="N87" s="173"/>
      <c r="O87" s="173"/>
    </row>
    <row r="88" spans="1:15">
      <c r="A88" s="173"/>
      <c r="B88" s="173"/>
      <c r="C88" s="173"/>
      <c r="D88" s="173"/>
      <c r="E88" s="173"/>
      <c r="F88" s="173"/>
      <c r="G88" s="173"/>
      <c r="H88" s="175"/>
      <c r="I88" s="175"/>
      <c r="J88" s="173"/>
      <c r="K88" s="74"/>
      <c r="L88" s="173"/>
      <c r="M88" s="173"/>
      <c r="N88" s="173"/>
      <c r="O88" s="173"/>
    </row>
    <row r="89" spans="1:15">
      <c r="A89" s="173"/>
      <c r="B89" s="173"/>
      <c r="C89" s="173"/>
      <c r="D89" s="173"/>
      <c r="E89" s="173"/>
      <c r="F89" s="173"/>
      <c r="G89" s="173"/>
      <c r="H89" s="175"/>
      <c r="I89" s="175"/>
      <c r="J89" s="173"/>
      <c r="K89" s="74"/>
      <c r="L89" s="173"/>
      <c r="M89" s="173"/>
      <c r="N89" s="173"/>
      <c r="O89" s="173"/>
    </row>
    <row r="90" spans="1:15">
      <c r="A90" s="74"/>
      <c r="B90" s="74"/>
      <c r="C90" s="74"/>
      <c r="D90" s="74"/>
      <c r="E90" s="74"/>
      <c r="F90" s="74"/>
      <c r="G90" s="74"/>
      <c r="H90" s="222"/>
      <c r="I90" s="222"/>
      <c r="J90" s="74"/>
      <c r="K90" s="74"/>
      <c r="L90" s="173"/>
      <c r="M90" s="173"/>
      <c r="N90" s="173"/>
      <c r="O90" s="173"/>
    </row>
    <row r="91" spans="1:15">
      <c r="A91" s="74"/>
      <c r="B91" s="74"/>
      <c r="C91" s="74"/>
      <c r="D91" s="74"/>
      <c r="E91" s="74"/>
      <c r="F91" s="74"/>
      <c r="G91" s="74"/>
      <c r="H91" s="222"/>
      <c r="I91" s="222"/>
      <c r="J91" s="74"/>
      <c r="K91" s="74"/>
      <c r="L91" s="173"/>
      <c r="M91" s="173"/>
      <c r="N91" s="173"/>
      <c r="O91" s="173"/>
    </row>
    <row r="92" spans="1:15">
      <c r="A92" s="74"/>
      <c r="B92" s="74"/>
      <c r="C92" s="74"/>
      <c r="D92" s="74"/>
      <c r="E92" s="74"/>
      <c r="F92" s="74"/>
      <c r="G92" s="74"/>
      <c r="H92" s="222"/>
      <c r="I92" s="222"/>
      <c r="J92" s="74"/>
      <c r="K92" s="74"/>
      <c r="L92" s="173"/>
      <c r="M92" s="173"/>
      <c r="N92" s="173"/>
      <c r="O92" s="173"/>
    </row>
    <row r="93" spans="1:15">
      <c r="A93" s="74"/>
      <c r="B93" s="74"/>
      <c r="C93" s="74"/>
      <c r="D93" s="74"/>
      <c r="E93" s="74"/>
      <c r="F93" s="74"/>
      <c r="G93" s="74"/>
      <c r="H93" s="222"/>
      <c r="I93" s="222"/>
      <c r="J93" s="74"/>
      <c r="K93" s="74"/>
      <c r="L93" s="173"/>
      <c r="M93" s="173"/>
      <c r="N93" s="173"/>
      <c r="O93" s="173"/>
    </row>
    <row r="94" spans="1:15">
      <c r="A94" s="74"/>
      <c r="B94" s="74"/>
      <c r="C94" s="74"/>
      <c r="D94" s="74"/>
      <c r="E94" s="74"/>
      <c r="F94" s="74"/>
      <c r="G94" s="74"/>
      <c r="H94" s="222"/>
      <c r="I94" s="222"/>
      <c r="J94" s="74"/>
      <c r="K94" s="74"/>
      <c r="L94" s="173"/>
      <c r="M94" s="173"/>
      <c r="N94" s="173"/>
      <c r="O94" s="173"/>
    </row>
    <row r="95" spans="1:15">
      <c r="A95" s="74"/>
      <c r="B95" s="74"/>
      <c r="C95" s="74"/>
      <c r="D95" s="74"/>
      <c r="E95" s="74"/>
      <c r="F95" s="74"/>
      <c r="G95" s="74"/>
      <c r="H95" s="222"/>
      <c r="I95" s="222"/>
      <c r="J95" s="74"/>
      <c r="K95" s="74"/>
      <c r="L95" s="173"/>
      <c r="M95" s="173"/>
      <c r="N95" s="173"/>
      <c r="O95" s="173"/>
    </row>
    <row r="96" spans="1:15">
      <c r="A96" s="74"/>
      <c r="B96" s="74"/>
      <c r="C96" s="74"/>
      <c r="D96" s="74"/>
      <c r="E96" s="74"/>
      <c r="F96" s="74"/>
      <c r="G96" s="74"/>
      <c r="H96" s="222"/>
      <c r="I96" s="222"/>
      <c r="J96" s="74"/>
      <c r="K96" s="74"/>
      <c r="L96" s="173"/>
      <c r="M96" s="173"/>
      <c r="N96" s="173"/>
      <c r="O96" s="173"/>
    </row>
    <row r="97" spans="1:15">
      <c r="A97" s="74"/>
      <c r="B97" s="74"/>
      <c r="C97" s="74"/>
      <c r="D97" s="74"/>
      <c r="E97" s="74"/>
      <c r="F97" s="74"/>
      <c r="G97" s="74"/>
      <c r="H97" s="222"/>
      <c r="I97" s="222"/>
      <c r="J97" s="74"/>
      <c r="K97" s="74"/>
      <c r="L97" s="173"/>
      <c r="M97" s="173"/>
      <c r="N97" s="173"/>
      <c r="O97" s="173"/>
    </row>
    <row r="98" spans="1:15">
      <c r="A98" s="74"/>
      <c r="B98" s="74"/>
      <c r="C98" s="74"/>
      <c r="D98" s="74"/>
      <c r="E98" s="74"/>
      <c r="F98" s="74"/>
      <c r="G98" s="74"/>
      <c r="H98" s="222"/>
      <c r="I98" s="222"/>
      <c r="J98" s="74"/>
      <c r="K98" s="74"/>
      <c r="L98" s="173"/>
      <c r="M98" s="173"/>
      <c r="N98" s="173"/>
      <c r="O98" s="173"/>
    </row>
    <row r="99" spans="1:15">
      <c r="A99" s="74"/>
      <c r="B99" s="74"/>
      <c r="C99" s="74"/>
      <c r="D99" s="74"/>
      <c r="E99" s="74"/>
      <c r="F99" s="74"/>
      <c r="G99" s="74"/>
      <c r="H99" s="222"/>
      <c r="I99" s="222"/>
      <c r="J99" s="74"/>
      <c r="K99" s="74"/>
      <c r="L99" s="173"/>
      <c r="M99" s="173"/>
      <c r="N99" s="173"/>
      <c r="O99" s="173"/>
    </row>
    <row r="100" spans="1:15">
      <c r="A100" s="74"/>
      <c r="B100" s="74"/>
      <c r="C100" s="74"/>
      <c r="D100" s="74"/>
      <c r="E100" s="74"/>
      <c r="F100" s="74"/>
      <c r="G100" s="74"/>
      <c r="H100" s="222"/>
      <c r="I100" s="222"/>
      <c r="J100" s="74"/>
      <c r="K100" s="74"/>
      <c r="L100" s="173"/>
      <c r="M100" s="173"/>
      <c r="N100" s="173"/>
      <c r="O100" s="173"/>
    </row>
    <row r="101" spans="1:15">
      <c r="A101" s="74"/>
      <c r="B101" s="74"/>
      <c r="C101" s="74"/>
      <c r="D101" s="74"/>
      <c r="E101" s="74"/>
      <c r="F101" s="74"/>
      <c r="G101" s="74"/>
      <c r="H101" s="222"/>
      <c r="I101" s="222"/>
      <c r="J101" s="74"/>
      <c r="K101" s="74"/>
      <c r="L101" s="173"/>
      <c r="M101" s="173"/>
      <c r="N101" s="173"/>
      <c r="O101" s="173"/>
    </row>
    <row r="102" spans="1:15">
      <c r="A102" s="74"/>
      <c r="B102" s="74"/>
      <c r="C102" s="74"/>
      <c r="D102" s="74"/>
      <c r="E102" s="74"/>
      <c r="F102" s="74"/>
      <c r="G102" s="74"/>
      <c r="H102" s="222"/>
      <c r="I102" s="222"/>
      <c r="J102" s="74"/>
      <c r="K102" s="74"/>
      <c r="L102" s="173"/>
      <c r="M102" s="173"/>
      <c r="N102" s="173"/>
      <c r="O102" s="173"/>
    </row>
    <row r="103" spans="1:15">
      <c r="A103" s="74"/>
      <c r="B103" s="74"/>
      <c r="C103" s="74"/>
      <c r="D103" s="74"/>
      <c r="E103" s="74"/>
      <c r="F103" s="74"/>
      <c r="G103" s="74"/>
      <c r="H103" s="222"/>
      <c r="I103" s="222"/>
      <c r="J103" s="74"/>
      <c r="K103" s="74"/>
      <c r="L103" s="173"/>
      <c r="M103" s="173"/>
      <c r="N103" s="173"/>
      <c r="O103" s="173"/>
    </row>
    <row r="104" spans="1:15">
      <c r="A104" s="74"/>
      <c r="B104" s="74"/>
      <c r="C104" s="74"/>
      <c r="D104" s="74"/>
      <c r="E104" s="74"/>
      <c r="F104" s="74"/>
      <c r="G104" s="74"/>
      <c r="H104" s="222"/>
      <c r="I104" s="222"/>
      <c r="J104" s="74"/>
      <c r="K104" s="74"/>
      <c r="L104" s="173"/>
      <c r="M104" s="173"/>
      <c r="N104" s="173"/>
      <c r="O104" s="173"/>
    </row>
    <row r="105" spans="1:15">
      <c r="A105" s="74"/>
      <c r="B105" s="74"/>
      <c r="C105" s="74"/>
      <c r="D105" s="74"/>
      <c r="E105" s="74"/>
      <c r="F105" s="74"/>
      <c r="G105" s="74"/>
      <c r="H105" s="222"/>
      <c r="I105" s="222"/>
      <c r="J105" s="74"/>
      <c r="K105" s="74"/>
      <c r="L105" s="173"/>
      <c r="M105" s="173"/>
      <c r="N105" s="173"/>
      <c r="O105" s="173"/>
    </row>
    <row r="106" spans="1:15">
      <c r="A106" s="74"/>
      <c r="B106" s="74"/>
      <c r="C106" s="74"/>
      <c r="D106" s="74"/>
      <c r="E106" s="74"/>
      <c r="F106" s="74"/>
      <c r="G106" s="74"/>
      <c r="H106" s="222"/>
      <c r="I106" s="222"/>
      <c r="J106" s="74"/>
      <c r="K106" s="74"/>
      <c r="L106" s="173"/>
      <c r="M106" s="173"/>
      <c r="N106" s="173"/>
      <c r="O106" s="173"/>
    </row>
    <row r="107" spans="1:15">
      <c r="A107" s="74"/>
      <c r="B107" s="74"/>
      <c r="C107" s="74"/>
      <c r="D107" s="74"/>
      <c r="E107" s="74"/>
      <c r="F107" s="74"/>
      <c r="G107" s="74"/>
      <c r="H107" s="222"/>
      <c r="I107" s="222"/>
      <c r="J107" s="74"/>
      <c r="K107" s="74"/>
      <c r="L107" s="173"/>
      <c r="M107" s="173"/>
      <c r="N107" s="173"/>
      <c r="O107" s="173"/>
    </row>
    <row r="108" spans="1:15">
      <c r="A108" s="74"/>
      <c r="B108" s="74"/>
      <c r="C108" s="74"/>
      <c r="D108" s="74"/>
      <c r="E108" s="74"/>
      <c r="F108" s="74"/>
      <c r="G108" s="74"/>
      <c r="H108" s="222"/>
      <c r="I108" s="222"/>
      <c r="J108" s="74"/>
      <c r="K108" s="74"/>
      <c r="L108" s="173"/>
      <c r="M108" s="173"/>
      <c r="N108" s="173"/>
      <c r="O108" s="173"/>
    </row>
    <row r="109" spans="1:15">
      <c r="A109" s="74"/>
      <c r="B109" s="74"/>
      <c r="C109" s="74"/>
      <c r="D109" s="74"/>
      <c r="E109" s="74"/>
      <c r="F109" s="74"/>
      <c r="G109" s="74"/>
      <c r="H109" s="222"/>
      <c r="I109" s="222"/>
      <c r="J109" s="74"/>
      <c r="K109" s="74"/>
      <c r="L109" s="173"/>
      <c r="M109" s="173"/>
      <c r="N109" s="173"/>
      <c r="O109" s="173"/>
    </row>
    <row r="110" spans="1:15">
      <c r="A110" s="74"/>
      <c r="B110" s="74"/>
      <c r="C110" s="74"/>
      <c r="D110" s="74"/>
      <c r="E110" s="74"/>
      <c r="F110" s="74"/>
      <c r="G110" s="74"/>
      <c r="H110" s="222"/>
      <c r="I110" s="222"/>
      <c r="J110" s="74"/>
      <c r="K110" s="74"/>
      <c r="L110" s="173"/>
      <c r="M110" s="173"/>
      <c r="N110" s="173"/>
      <c r="O110" s="173"/>
    </row>
    <row r="111" spans="1:15">
      <c r="A111" s="74"/>
      <c r="B111" s="74"/>
      <c r="C111" s="74"/>
      <c r="D111" s="74"/>
      <c r="E111" s="74"/>
      <c r="F111" s="74"/>
      <c r="G111" s="74"/>
      <c r="H111" s="222"/>
      <c r="I111" s="222"/>
      <c r="J111" s="74"/>
      <c r="K111" s="74"/>
      <c r="L111" s="173"/>
      <c r="M111" s="173"/>
      <c r="N111" s="173"/>
      <c r="O111" s="173"/>
    </row>
    <row r="112" spans="1:15">
      <c r="A112" s="74"/>
      <c r="B112" s="74"/>
      <c r="C112" s="74"/>
      <c r="D112" s="74"/>
      <c r="E112" s="74"/>
      <c r="F112" s="74"/>
      <c r="G112" s="74"/>
      <c r="H112" s="222"/>
      <c r="I112" s="222"/>
      <c r="J112" s="74"/>
      <c r="K112" s="74"/>
      <c r="L112" s="173"/>
      <c r="M112" s="173"/>
      <c r="N112" s="173"/>
      <c r="O112" s="173"/>
    </row>
    <row r="113" spans="1:15">
      <c r="A113" s="74"/>
      <c r="B113" s="74"/>
      <c r="C113" s="74"/>
      <c r="D113" s="74"/>
      <c r="E113" s="74"/>
      <c r="F113" s="74"/>
      <c r="G113" s="74"/>
      <c r="H113" s="222"/>
      <c r="I113" s="222"/>
      <c r="J113" s="74"/>
      <c r="K113" s="74"/>
      <c r="L113" s="173"/>
      <c r="M113" s="173"/>
      <c r="N113" s="173"/>
      <c r="O113" s="173"/>
    </row>
    <row r="114" spans="1:15">
      <c r="A114" s="74"/>
      <c r="B114" s="74"/>
      <c r="C114" s="74"/>
      <c r="D114" s="74"/>
      <c r="E114" s="74"/>
      <c r="F114" s="74"/>
      <c r="G114" s="74"/>
      <c r="H114" s="222"/>
      <c r="I114" s="222"/>
      <c r="J114" s="74"/>
      <c r="K114" s="74"/>
      <c r="L114" s="173"/>
      <c r="M114" s="173"/>
      <c r="N114" s="173"/>
      <c r="O114" s="173"/>
    </row>
    <row r="115" spans="1:15">
      <c r="A115" s="74"/>
      <c r="B115" s="74"/>
      <c r="C115" s="74"/>
      <c r="D115" s="74"/>
      <c r="E115" s="74"/>
      <c r="F115" s="74"/>
      <c r="G115" s="74"/>
      <c r="H115" s="222"/>
      <c r="I115" s="222"/>
      <c r="J115" s="74"/>
      <c r="K115" s="74"/>
      <c r="L115" s="173"/>
      <c r="M115" s="173"/>
      <c r="N115" s="173"/>
      <c r="O115" s="173"/>
    </row>
    <row r="116" spans="1:15">
      <c r="A116" s="74"/>
      <c r="B116" s="74"/>
      <c r="C116" s="74"/>
      <c r="D116" s="74"/>
      <c r="E116" s="74"/>
      <c r="F116" s="74"/>
      <c r="G116" s="74"/>
      <c r="H116" s="222"/>
      <c r="I116" s="222"/>
      <c r="J116" s="74"/>
      <c r="K116" s="74"/>
      <c r="L116" s="173"/>
      <c r="M116" s="173"/>
      <c r="N116" s="173"/>
      <c r="O116" s="173"/>
    </row>
    <row r="117" spans="1:15">
      <c r="A117" s="74"/>
      <c r="B117" s="74"/>
      <c r="C117" s="74"/>
      <c r="D117" s="74"/>
      <c r="E117" s="74"/>
      <c r="F117" s="74"/>
      <c r="G117" s="74"/>
      <c r="H117" s="222"/>
      <c r="I117" s="222"/>
      <c r="J117" s="74"/>
      <c r="K117" s="74"/>
      <c r="L117" s="173"/>
      <c r="M117" s="173"/>
      <c r="N117" s="173"/>
      <c r="O117" s="173"/>
    </row>
    <row r="118" spans="1:15">
      <c r="A118" s="74"/>
      <c r="B118" s="74"/>
      <c r="C118" s="74"/>
      <c r="D118" s="74"/>
      <c r="E118" s="74"/>
      <c r="F118" s="74"/>
      <c r="G118" s="74"/>
      <c r="H118" s="222"/>
      <c r="I118" s="222"/>
      <c r="J118" s="74"/>
      <c r="K118" s="74"/>
      <c r="L118" s="173"/>
      <c r="M118" s="173"/>
      <c r="N118" s="173"/>
      <c r="O118" s="173"/>
    </row>
    <row r="119" spans="1:15">
      <c r="A119" s="74"/>
      <c r="B119" s="74"/>
      <c r="C119" s="74"/>
      <c r="D119" s="74"/>
      <c r="E119" s="74"/>
      <c r="F119" s="74"/>
      <c r="G119" s="74"/>
      <c r="H119" s="222"/>
      <c r="I119" s="222"/>
      <c r="J119" s="74"/>
      <c r="K119" s="74"/>
      <c r="L119" s="173"/>
      <c r="M119" s="173"/>
      <c r="N119" s="173"/>
      <c r="O119" s="173"/>
    </row>
    <row r="120" spans="1:15">
      <c r="A120" s="74"/>
      <c r="B120" s="74"/>
      <c r="C120" s="74"/>
      <c r="D120" s="74"/>
      <c r="E120" s="74"/>
      <c r="F120" s="74"/>
      <c r="G120" s="74"/>
      <c r="H120" s="222"/>
      <c r="I120" s="222"/>
      <c r="J120" s="74"/>
      <c r="K120" s="74"/>
      <c r="L120" s="173"/>
      <c r="M120" s="173"/>
      <c r="N120" s="173"/>
      <c r="O120" s="173"/>
    </row>
    <row r="121" spans="1:15">
      <c r="A121" s="74"/>
      <c r="B121" s="74"/>
      <c r="C121" s="74"/>
      <c r="D121" s="74"/>
      <c r="E121" s="74"/>
      <c r="F121" s="74"/>
      <c r="G121" s="74"/>
      <c r="H121" s="222"/>
      <c r="I121" s="222"/>
      <c r="J121" s="74"/>
      <c r="K121" s="74"/>
      <c r="L121" s="173"/>
      <c r="M121" s="173"/>
      <c r="N121" s="173"/>
      <c r="O121" s="173"/>
    </row>
    <row r="122" spans="1:15">
      <c r="A122" s="74"/>
      <c r="B122" s="74"/>
      <c r="C122" s="74"/>
      <c r="D122" s="74"/>
      <c r="E122" s="74"/>
      <c r="F122" s="74"/>
      <c r="G122" s="74"/>
      <c r="H122" s="222"/>
      <c r="I122" s="222"/>
      <c r="J122" s="74"/>
      <c r="K122" s="74"/>
      <c r="L122" s="173"/>
      <c r="M122" s="173"/>
      <c r="N122" s="173"/>
      <c r="O122" s="173"/>
    </row>
    <row r="123" spans="1:15">
      <c r="A123" s="74"/>
      <c r="B123" s="74"/>
      <c r="C123" s="74"/>
      <c r="D123" s="74"/>
      <c r="E123" s="74"/>
      <c r="F123" s="74"/>
      <c r="G123" s="74"/>
      <c r="H123" s="222"/>
      <c r="I123" s="222"/>
      <c r="J123" s="74"/>
      <c r="K123" s="74"/>
      <c r="L123" s="173"/>
      <c r="M123" s="173"/>
      <c r="N123" s="173"/>
      <c r="O123" s="173"/>
    </row>
    <row r="124" spans="1:15">
      <c r="A124" s="74"/>
      <c r="B124" s="74"/>
      <c r="C124" s="74"/>
      <c r="D124" s="74"/>
      <c r="E124" s="74"/>
      <c r="F124" s="74"/>
      <c r="G124" s="74"/>
      <c r="H124" s="222"/>
      <c r="I124" s="222"/>
      <c r="J124" s="74"/>
      <c r="K124" s="74"/>
      <c r="L124" s="173"/>
      <c r="M124" s="173"/>
      <c r="N124" s="173"/>
      <c r="O124" s="173"/>
    </row>
    <row r="125" spans="1:15">
      <c r="A125" s="74"/>
      <c r="B125" s="74"/>
      <c r="C125" s="74"/>
      <c r="D125" s="74"/>
      <c r="E125" s="74"/>
      <c r="F125" s="74"/>
      <c r="G125" s="74"/>
      <c r="H125" s="222"/>
      <c r="I125" s="222"/>
      <c r="J125" s="74"/>
      <c r="K125" s="74"/>
      <c r="L125" s="173"/>
      <c r="M125" s="173"/>
      <c r="N125" s="173"/>
      <c r="O125" s="173"/>
    </row>
    <row r="126" spans="1:15">
      <c r="A126" s="74"/>
      <c r="B126" s="74"/>
      <c r="C126" s="74"/>
      <c r="D126" s="74"/>
      <c r="E126" s="74"/>
      <c r="F126" s="74"/>
      <c r="G126" s="74"/>
      <c r="H126" s="222"/>
      <c r="I126" s="222"/>
      <c r="J126" s="74"/>
      <c r="K126" s="74"/>
      <c r="L126" s="173"/>
      <c r="M126" s="173"/>
      <c r="N126" s="173"/>
      <c r="O126" s="173"/>
    </row>
    <row r="127" spans="1:15">
      <c r="A127" s="74"/>
      <c r="B127" s="74"/>
      <c r="C127" s="74"/>
      <c r="D127" s="74"/>
      <c r="E127" s="74"/>
      <c r="F127" s="74"/>
      <c r="G127" s="74"/>
      <c r="H127" s="222"/>
      <c r="I127" s="222"/>
      <c r="J127" s="74"/>
      <c r="K127" s="74"/>
      <c r="L127" s="173"/>
      <c r="M127" s="173"/>
      <c r="N127" s="173"/>
      <c r="O127" s="173"/>
    </row>
    <row r="128" spans="1:15">
      <c r="A128" s="74"/>
      <c r="B128" s="74"/>
      <c r="C128" s="74"/>
      <c r="D128" s="74"/>
      <c r="E128" s="74"/>
      <c r="F128" s="74"/>
      <c r="G128" s="74"/>
      <c r="H128" s="222"/>
      <c r="I128" s="222"/>
      <c r="J128" s="74"/>
      <c r="K128" s="74"/>
      <c r="L128" s="173"/>
      <c r="M128" s="173"/>
      <c r="N128" s="173"/>
      <c r="O128" s="173"/>
    </row>
    <row r="129" spans="1:15">
      <c r="A129" s="74"/>
      <c r="B129" s="74"/>
      <c r="C129" s="74"/>
      <c r="D129" s="74"/>
      <c r="E129" s="74"/>
      <c r="F129" s="74"/>
      <c r="G129" s="74"/>
      <c r="H129" s="222"/>
      <c r="I129" s="222"/>
      <c r="J129" s="74"/>
      <c r="K129" s="74"/>
      <c r="L129" s="173"/>
      <c r="M129" s="173"/>
      <c r="N129" s="173"/>
      <c r="O129" s="173"/>
    </row>
    <row r="130" spans="1:15">
      <c r="A130" s="74"/>
      <c r="B130" s="74"/>
      <c r="C130" s="74"/>
      <c r="D130" s="74"/>
      <c r="E130" s="74"/>
      <c r="F130" s="74"/>
      <c r="G130" s="74"/>
      <c r="H130" s="222"/>
      <c r="I130" s="222"/>
      <c r="J130" s="74"/>
      <c r="K130" s="74"/>
      <c r="L130" s="173"/>
      <c r="M130" s="173"/>
      <c r="N130" s="173"/>
      <c r="O130" s="173"/>
    </row>
    <row r="131" spans="1:15">
      <c r="A131" s="74"/>
      <c r="B131" s="74"/>
      <c r="C131" s="74"/>
      <c r="D131" s="74"/>
      <c r="E131" s="74"/>
      <c r="F131" s="74"/>
      <c r="G131" s="74"/>
      <c r="H131" s="222"/>
      <c r="I131" s="222"/>
      <c r="J131" s="74"/>
      <c r="K131" s="74"/>
      <c r="L131" s="173"/>
      <c r="M131" s="173"/>
      <c r="N131" s="173"/>
      <c r="O131" s="173"/>
    </row>
    <row r="132" spans="1:15">
      <c r="A132" s="74"/>
      <c r="B132" s="74"/>
      <c r="C132" s="74"/>
      <c r="D132" s="74"/>
      <c r="E132" s="74"/>
      <c r="F132" s="74"/>
      <c r="G132" s="74"/>
      <c r="H132" s="222"/>
      <c r="I132" s="222"/>
      <c r="J132" s="74"/>
      <c r="K132" s="74"/>
      <c r="L132" s="173"/>
      <c r="M132" s="173"/>
      <c r="N132" s="173"/>
      <c r="O132" s="173"/>
    </row>
    <row r="133" spans="1:15">
      <c r="A133" s="74"/>
      <c r="B133" s="74"/>
      <c r="C133" s="74"/>
      <c r="D133" s="74"/>
      <c r="E133" s="74"/>
      <c r="F133" s="74"/>
      <c r="G133" s="74"/>
      <c r="H133" s="222"/>
      <c r="I133" s="222"/>
      <c r="J133" s="74"/>
      <c r="K133" s="74"/>
      <c r="L133" s="173"/>
      <c r="M133" s="173"/>
      <c r="N133" s="173"/>
      <c r="O133" s="173"/>
    </row>
    <row r="134" spans="1:15">
      <c r="A134" s="74"/>
      <c r="B134" s="74"/>
      <c r="C134" s="74"/>
      <c r="D134" s="74"/>
      <c r="E134" s="74"/>
      <c r="F134" s="74"/>
      <c r="G134" s="74"/>
      <c r="H134" s="222"/>
      <c r="I134" s="222"/>
      <c r="J134" s="74"/>
      <c r="K134" s="74"/>
      <c r="L134" s="173"/>
      <c r="M134" s="173"/>
      <c r="N134" s="173"/>
      <c r="O134" s="173"/>
    </row>
    <row r="135" spans="1:15">
      <c r="B135" s="74"/>
      <c r="C135" s="74"/>
      <c r="D135" s="74"/>
      <c r="E135" s="74"/>
      <c r="F135" s="74"/>
      <c r="G135" s="74"/>
      <c r="H135" s="222"/>
      <c r="I135" s="222"/>
      <c r="J135" s="74"/>
      <c r="K135" s="74"/>
      <c r="L135" s="173"/>
      <c r="M135" s="173"/>
      <c r="N135" s="173"/>
      <c r="O135" s="173"/>
    </row>
    <row r="136" spans="1:15">
      <c r="B136" s="74"/>
      <c r="C136" s="74"/>
      <c r="D136" s="74"/>
      <c r="E136" s="74"/>
      <c r="F136" s="74"/>
      <c r="G136" s="74"/>
      <c r="H136" s="222"/>
      <c r="I136" s="222"/>
      <c r="J136" s="74"/>
      <c r="K136" s="74"/>
      <c r="L136" s="173"/>
      <c r="M136" s="173"/>
      <c r="N136" s="173"/>
      <c r="O136" s="173"/>
    </row>
    <row r="137" spans="1:15">
      <c r="B137" s="74"/>
      <c r="C137" s="74"/>
      <c r="D137" s="74"/>
      <c r="E137" s="74"/>
      <c r="F137" s="74"/>
      <c r="G137" s="74"/>
      <c r="H137" s="222"/>
      <c r="I137" s="222"/>
      <c r="J137" s="74"/>
      <c r="K137" s="74"/>
      <c r="L137" s="173"/>
      <c r="M137" s="173"/>
      <c r="N137" s="173"/>
      <c r="O137" s="173"/>
    </row>
    <row r="138" spans="1:15">
      <c r="B138" s="74"/>
      <c r="C138" s="74"/>
      <c r="D138" s="74"/>
      <c r="E138" s="74"/>
      <c r="F138" s="74"/>
      <c r="G138" s="74"/>
      <c r="H138" s="222"/>
      <c r="I138" s="222"/>
      <c r="J138" s="74"/>
      <c r="K138" s="74"/>
      <c r="L138" s="173"/>
      <c r="M138" s="173"/>
      <c r="N138" s="173"/>
      <c r="O138" s="173"/>
    </row>
    <row r="139" spans="1:15">
      <c r="B139" s="74"/>
      <c r="C139" s="74"/>
      <c r="D139" s="74"/>
      <c r="E139" s="74"/>
      <c r="F139" s="74"/>
      <c r="G139" s="74"/>
      <c r="H139" s="222"/>
      <c r="I139" s="222"/>
      <c r="J139" s="74"/>
      <c r="K139" s="74"/>
      <c r="L139" s="173"/>
      <c r="M139" s="173"/>
      <c r="N139" s="173"/>
      <c r="O139" s="173"/>
    </row>
    <row r="140" spans="1:15">
      <c r="B140" s="74"/>
      <c r="C140" s="74"/>
      <c r="D140" s="74"/>
      <c r="E140" s="74"/>
      <c r="F140" s="74"/>
      <c r="G140" s="74"/>
      <c r="H140" s="222"/>
      <c r="I140" s="222"/>
      <c r="J140" s="74"/>
      <c r="K140" s="74"/>
      <c r="L140" s="173"/>
      <c r="M140" s="173"/>
      <c r="N140" s="173"/>
      <c r="O140" s="173"/>
    </row>
    <row r="141" spans="1:15">
      <c r="B141" s="173"/>
      <c r="C141" s="173"/>
      <c r="D141" s="173"/>
      <c r="E141" s="173"/>
      <c r="F141" s="173"/>
      <c r="G141" s="173"/>
      <c r="H141" s="175"/>
      <c r="I141" s="175"/>
      <c r="J141" s="173"/>
      <c r="K141" s="173"/>
      <c r="L141" s="173"/>
      <c r="M141" s="173"/>
      <c r="N141" s="173"/>
      <c r="O141" s="173"/>
    </row>
    <row r="142" spans="1:15">
      <c r="B142" s="173"/>
      <c r="C142" s="173"/>
      <c r="D142" s="173"/>
      <c r="E142" s="173"/>
      <c r="F142" s="173"/>
      <c r="G142" s="173"/>
      <c r="H142" s="175"/>
      <c r="I142" s="175"/>
      <c r="J142" s="173"/>
      <c r="K142" s="173"/>
      <c r="L142" s="173"/>
      <c r="M142" s="173"/>
      <c r="N142" s="173"/>
      <c r="O142" s="173"/>
    </row>
    <row r="143" spans="1:15">
      <c r="B143" s="173"/>
      <c r="C143" s="173"/>
      <c r="D143" s="173"/>
      <c r="E143" s="173"/>
      <c r="F143" s="173"/>
      <c r="G143" s="173"/>
      <c r="H143" s="175"/>
      <c r="I143" s="175"/>
      <c r="J143" s="173"/>
      <c r="K143" s="173"/>
      <c r="L143" s="173"/>
      <c r="M143" s="173"/>
      <c r="N143" s="173"/>
      <c r="O143" s="173"/>
    </row>
    <row r="144" spans="1:15">
      <c r="B144" s="173"/>
      <c r="C144" s="173"/>
      <c r="D144" s="173"/>
      <c r="E144" s="173"/>
      <c r="F144" s="173"/>
      <c r="G144" s="173"/>
      <c r="H144" s="175"/>
      <c r="I144" s="175"/>
      <c r="J144" s="173"/>
      <c r="K144" s="173"/>
      <c r="L144" s="173"/>
      <c r="M144" s="173"/>
      <c r="N144" s="173"/>
      <c r="O144" s="173"/>
    </row>
  </sheetData>
  <sheetProtection sheet="1" objects="1" scenarios="1"/>
  <mergeCells count="1">
    <mergeCell ref="K1:L2"/>
  </mergeCells>
  <hyperlinks>
    <hyperlink ref="K1:L2" location="Front!E1" display="Front!E1" xr:uid="{00000000-0004-0000-0400-000000000000}"/>
  </hyperlinks>
  <pageMargins left="0.39370078740157483" right="0.39370078740157483" top="0.39370078740157483" bottom="0.39370078740157483" header="0.39370078740157483"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352425</xdr:colOff>
                    <xdr:row>4</xdr:row>
                    <xdr:rowOff>66675</xdr:rowOff>
                  </from>
                  <to>
                    <xdr:col>5</xdr:col>
                    <xdr:colOff>352425</xdr:colOff>
                    <xdr:row>6</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zoomScale="82" zoomScaleNormal="82" workbookViewId="0">
      <pane xSplit="21" ySplit="4" topLeftCell="V5" activePane="bottomRight" state="frozen"/>
      <selection pane="topRight" activeCell="V1" sqref="V1"/>
      <selection pane="bottomLeft" activeCell="A5" sqref="A5"/>
      <selection pane="bottomRight" activeCell="P19" sqref="P19"/>
    </sheetView>
  </sheetViews>
  <sheetFormatPr defaultRowHeight="12.75"/>
  <cols>
    <col min="1" max="1" width="3.140625" style="90" customWidth="1"/>
    <col min="2" max="2" width="20.85546875" style="16" customWidth="1"/>
    <col min="3" max="20" width="12.5703125" style="17" customWidth="1"/>
    <col min="21" max="21" width="14.5703125" customWidth="1"/>
    <col min="22" max="22" width="22.28515625" customWidth="1"/>
    <col min="23" max="23" width="14.5703125" customWidth="1"/>
    <col min="24" max="24" width="11.5703125" customWidth="1"/>
    <col min="25" max="25" width="9.7109375" customWidth="1"/>
    <col min="26" max="26" width="19.85546875" customWidth="1"/>
    <col min="27" max="28" width="12" customWidth="1"/>
    <col min="29" max="29" width="18.140625" customWidth="1"/>
    <col min="30" max="31" width="12.42578125" customWidth="1"/>
    <col min="32" max="35" width="8.85546875" customWidth="1"/>
    <col min="36" max="37" width="9.140625" style="176"/>
    <col min="38" max="39" width="8.5703125" style="176" customWidth="1"/>
    <col min="40" max="41" width="8.42578125" style="176" customWidth="1"/>
    <col min="42" max="43" width="12.42578125" style="176" customWidth="1"/>
    <col min="44" max="51" width="10.5703125" style="176" customWidth="1"/>
    <col min="52" max="58" width="10.28515625" style="176" customWidth="1"/>
    <col min="59" max="63" width="9.85546875" style="176" customWidth="1"/>
    <col min="64" max="65" width="10" style="176" customWidth="1"/>
    <col min="66" max="66" width="14" style="176" customWidth="1"/>
    <col min="67" max="67" width="13.140625" style="176" customWidth="1"/>
    <col min="68" max="68" width="13.7109375" style="176" customWidth="1"/>
    <col min="69" max="69" width="10.85546875" style="176" customWidth="1"/>
    <col min="70" max="70" width="10.7109375" style="176" customWidth="1"/>
    <col min="71" max="71" width="13.7109375" style="176" customWidth="1"/>
    <col min="72" max="72" width="12.85546875" style="176" customWidth="1"/>
    <col min="73" max="73" width="14.140625" style="176" customWidth="1"/>
    <col min="74" max="78" width="14.42578125" style="176" customWidth="1"/>
    <col min="79" max="79" width="16.42578125" style="176" customWidth="1"/>
    <col min="80" max="80" width="12.42578125" style="176" customWidth="1"/>
    <col min="81" max="90" width="9.140625" style="176"/>
    <col min="91" max="16384" width="9.140625" style="17"/>
  </cols>
  <sheetData>
    <row r="1" spans="1:35" s="176" customFormat="1">
      <c r="A1" s="91">
        <v>1</v>
      </c>
      <c r="B1" s="92">
        <v>2</v>
      </c>
      <c r="C1" s="91">
        <v>3</v>
      </c>
      <c r="D1" s="165">
        <v>4</v>
      </c>
      <c r="E1" s="91">
        <v>5</v>
      </c>
      <c r="F1" s="92">
        <v>6</v>
      </c>
      <c r="G1" s="91">
        <v>7</v>
      </c>
      <c r="H1" s="165">
        <v>8</v>
      </c>
      <c r="I1" s="91">
        <v>9</v>
      </c>
      <c r="J1" s="92">
        <v>10</v>
      </c>
      <c r="K1" s="92">
        <v>11</v>
      </c>
      <c r="L1" s="91">
        <v>12</v>
      </c>
      <c r="M1" s="165">
        <v>13</v>
      </c>
      <c r="N1" s="91">
        <v>14</v>
      </c>
      <c r="O1" s="92">
        <v>15</v>
      </c>
      <c r="P1" s="92">
        <v>16</v>
      </c>
      <c r="Q1" s="91">
        <v>17</v>
      </c>
      <c r="R1" s="165">
        <v>18</v>
      </c>
      <c r="S1" s="91">
        <v>19</v>
      </c>
      <c r="T1" s="92">
        <v>20</v>
      </c>
      <c r="U1"/>
      <c r="V1"/>
      <c r="W1"/>
      <c r="X1"/>
      <c r="Y1"/>
      <c r="Z1"/>
      <c r="AA1"/>
      <c r="AB1"/>
      <c r="AC1"/>
      <c r="AD1"/>
      <c r="AE1"/>
      <c r="AF1"/>
      <c r="AG1"/>
      <c r="AH1"/>
      <c r="AI1"/>
    </row>
    <row r="2" spans="1:35" s="176" customFormat="1">
      <c r="A2" s="90"/>
      <c r="B2" s="16"/>
      <c r="C2" s="17"/>
      <c r="D2" s="166"/>
      <c r="E2" s="166"/>
      <c r="F2" s="167"/>
      <c r="G2" s="167"/>
      <c r="H2" s="237">
        <v>2019</v>
      </c>
      <c r="I2" s="237">
        <v>2018</v>
      </c>
      <c r="J2" s="17"/>
      <c r="K2" s="17"/>
      <c r="L2" s="17"/>
      <c r="M2" s="17"/>
      <c r="N2" s="17"/>
      <c r="O2" s="17"/>
      <c r="P2" s="17"/>
      <c r="Q2" s="17"/>
      <c r="R2" s="17"/>
      <c r="S2" s="17"/>
      <c r="T2" s="17"/>
      <c r="U2"/>
      <c r="V2"/>
      <c r="W2"/>
      <c r="X2"/>
      <c r="Y2"/>
      <c r="Z2"/>
      <c r="AA2"/>
      <c r="AB2"/>
      <c r="AC2"/>
      <c r="AD2"/>
      <c r="AE2"/>
      <c r="AF2"/>
      <c r="AG2"/>
      <c r="AH2"/>
      <c r="AI2"/>
    </row>
    <row r="3" spans="1:35" s="176" customFormat="1" ht="15">
      <c r="A3" s="90"/>
      <c r="B3" s="16"/>
      <c r="C3" s="17"/>
      <c r="D3" s="166"/>
      <c r="E3" s="166"/>
      <c r="F3" s="167"/>
      <c r="G3" s="167" t="s">
        <v>1514</v>
      </c>
      <c r="H3" s="354">
        <v>115.3</v>
      </c>
      <c r="I3" s="354">
        <v>113.8</v>
      </c>
      <c r="J3" s="17"/>
      <c r="K3" s="133"/>
      <c r="L3" s="133"/>
      <c r="M3" s="133"/>
      <c r="N3" s="133"/>
      <c r="O3" s="133"/>
      <c r="P3" s="133"/>
      <c r="Q3" s="133"/>
      <c r="R3" s="133"/>
      <c r="S3" s="17"/>
      <c r="T3" s="17"/>
      <c r="U3"/>
      <c r="V3"/>
      <c r="W3"/>
      <c r="X3"/>
      <c r="Y3"/>
      <c r="Z3"/>
      <c r="AA3"/>
      <c r="AB3"/>
      <c r="AC3"/>
      <c r="AD3"/>
      <c r="AE3"/>
      <c r="AF3"/>
      <c r="AG3"/>
      <c r="AH3"/>
      <c r="AI3"/>
    </row>
    <row r="4" spans="1:35" s="176" customFormat="1" ht="65.25" customHeight="1">
      <c r="A4" s="90">
        <v>1</v>
      </c>
      <c r="B4" s="16"/>
      <c r="C4" s="221" t="s">
        <v>1483</v>
      </c>
      <c r="D4" s="353" t="s">
        <v>1484</v>
      </c>
      <c r="E4" s="353" t="s">
        <v>1490</v>
      </c>
      <c r="F4" s="353" t="s">
        <v>1489</v>
      </c>
      <c r="G4" s="353" t="s">
        <v>1488</v>
      </c>
      <c r="H4" s="353" t="s">
        <v>1486</v>
      </c>
      <c r="I4" s="353" t="s">
        <v>1422</v>
      </c>
      <c r="J4" s="353" t="s">
        <v>1491</v>
      </c>
      <c r="K4" s="353" t="s">
        <v>1492</v>
      </c>
      <c r="L4" s="353" t="s">
        <v>1492</v>
      </c>
      <c r="M4" s="353" t="s">
        <v>1493</v>
      </c>
      <c r="N4" s="353" t="s">
        <v>1494</v>
      </c>
      <c r="O4" s="353" t="s">
        <v>1495</v>
      </c>
      <c r="P4" s="353" t="s">
        <v>1496</v>
      </c>
      <c r="Q4" s="353" t="s">
        <v>1497</v>
      </c>
      <c r="R4" s="353" t="s">
        <v>1498</v>
      </c>
      <c r="S4" s="353" t="s">
        <v>1499</v>
      </c>
      <c r="T4" s="353" t="s">
        <v>1500</v>
      </c>
      <c r="U4" s="353" t="s">
        <v>1487</v>
      </c>
      <c r="V4"/>
      <c r="W4"/>
      <c r="X4"/>
      <c r="Y4"/>
      <c r="Z4"/>
      <c r="AA4"/>
      <c r="AB4"/>
      <c r="AC4"/>
      <c r="AD4"/>
      <c r="AE4"/>
      <c r="AF4"/>
      <c r="AG4"/>
      <c r="AH4"/>
      <c r="AI4"/>
    </row>
    <row r="5" spans="1:35" s="176" customFormat="1" ht="15">
      <c r="A5" s="90">
        <v>1</v>
      </c>
      <c r="B5" s="340" t="s">
        <v>10</v>
      </c>
      <c r="C5" s="341">
        <v>12753.324112873273</v>
      </c>
      <c r="D5" s="342">
        <v>10264.707414750977</v>
      </c>
      <c r="E5" s="342">
        <v>3</v>
      </c>
      <c r="F5" s="342">
        <v>113</v>
      </c>
      <c r="G5" s="343"/>
      <c r="H5" s="344">
        <v>4.3495919199999999</v>
      </c>
      <c r="I5" s="344">
        <v>2.23765284</v>
      </c>
      <c r="J5" s="345">
        <f>RANK(E5,E$5:E$83)</f>
        <v>49</v>
      </c>
      <c r="K5" s="345">
        <f>RANK(F5,F$5:F$83)</f>
        <v>49</v>
      </c>
      <c r="L5" s="345">
        <f>RANK(F5,F$5:F$83)</f>
        <v>49</v>
      </c>
      <c r="M5" s="346">
        <f>F5/D5*1000</f>
        <v>11.00859434508698</v>
      </c>
      <c r="N5" s="345">
        <f>RANK(M5,M$5:M$83)</f>
        <v>1</v>
      </c>
      <c r="O5" s="345">
        <f>RANK(H5,H$5:H$83)</f>
        <v>58</v>
      </c>
      <c r="P5" s="347">
        <f>H5/D5*1000000</f>
        <v>423.74241605263734</v>
      </c>
      <c r="Q5" s="345">
        <f>RANK(P5,P$5:P$83)</f>
        <v>44</v>
      </c>
      <c r="R5" s="346">
        <f>(H5-I5)/I5*100</f>
        <v>94.381891696837116</v>
      </c>
      <c r="S5" s="346">
        <f>IF((I5*H$3/I$3)&gt;0,(H5-(I5*H$3/I$3))/(I5*H$3/I$3)*100,"")</f>
        <v>91.853072637468017</v>
      </c>
      <c r="T5" s="345">
        <f>RANK($S5,$S$5:$S$83)</f>
        <v>1</v>
      </c>
      <c r="U5"/>
      <c r="V5"/>
      <c r="W5"/>
      <c r="X5"/>
      <c r="Z5"/>
      <c r="AA5"/>
      <c r="AB5"/>
      <c r="AC5"/>
      <c r="AD5"/>
      <c r="AE5"/>
      <c r="AF5"/>
      <c r="AG5"/>
      <c r="AH5"/>
      <c r="AI5"/>
    </row>
    <row r="6" spans="1:35" s="176" customFormat="1" ht="15">
      <c r="A6" s="90">
        <v>2</v>
      </c>
      <c r="B6" s="340" t="s">
        <v>11</v>
      </c>
      <c r="C6" s="341">
        <v>11827.889988472758</v>
      </c>
      <c r="D6" s="342">
        <v>9653.4133587172073</v>
      </c>
      <c r="E6" s="342">
        <v>2</v>
      </c>
      <c r="F6" s="342">
        <v>88</v>
      </c>
      <c r="G6" s="342"/>
      <c r="H6" s="344">
        <v>5.1270781899999998</v>
      </c>
      <c r="I6" s="344">
        <v>5.2595727500000002</v>
      </c>
      <c r="J6" s="345">
        <f t="shared" ref="J6:K69" si="0">RANK(E6,E$5:E$83)</f>
        <v>56</v>
      </c>
      <c r="K6" s="345">
        <f t="shared" si="0"/>
        <v>59</v>
      </c>
      <c r="L6" s="345">
        <f t="shared" ref="L6:L69" si="1">RANK(F6,F$5:F$83)</f>
        <v>59</v>
      </c>
      <c r="M6" s="346">
        <f t="shared" ref="M6:M69" si="2">F6/D6*1000</f>
        <v>9.115946528958526</v>
      </c>
      <c r="N6" s="345">
        <f t="shared" ref="N6:N69" si="3">RANK(M6,M$5:M$83)</f>
        <v>7</v>
      </c>
      <c r="O6" s="345">
        <f t="shared" ref="O6:O69" si="4">RANK(H6,H$5:H$83)</f>
        <v>57</v>
      </c>
      <c r="P6" s="347">
        <f t="shared" ref="P6:P69" si="5">H6/D6*1000000</f>
        <v>531.11557533897121</v>
      </c>
      <c r="Q6" s="345">
        <f t="shared" ref="Q6:Q69" si="6">RANK(P6,P$5:P$83)</f>
        <v>34</v>
      </c>
      <c r="R6" s="346">
        <f t="shared" ref="R6:R69" si="7">(H6-I6)/I6*100</f>
        <v>-2.5191126028250199</v>
      </c>
      <c r="S6" s="346">
        <f t="shared" ref="S6:S69" si="8">IF((I6*H$3/I$3)&gt;0,(H6-(I6*H$3/I$3))/(I6*H$3/I$3)*100,"")</f>
        <v>-3.7872941387813333</v>
      </c>
      <c r="T6" s="345">
        <f t="shared" ref="T6:T36" si="9">RANK($S6,$S$5:$S$83)</f>
        <v>65</v>
      </c>
      <c r="U6"/>
      <c r="V6"/>
      <c r="W6"/>
      <c r="X6"/>
      <c r="Z6"/>
      <c r="AA6"/>
      <c r="AB6"/>
      <c r="AC6"/>
      <c r="AD6"/>
      <c r="AE6"/>
      <c r="AF6"/>
      <c r="AG6"/>
      <c r="AH6"/>
      <c r="AI6"/>
    </row>
    <row r="7" spans="1:35" s="176" customFormat="1" ht="15">
      <c r="A7" s="90">
        <v>3</v>
      </c>
      <c r="B7" s="340" t="s">
        <v>12</v>
      </c>
      <c r="C7" s="341">
        <v>108607.34745859372</v>
      </c>
      <c r="D7" s="342">
        <v>83377.086279201991</v>
      </c>
      <c r="E7" s="342">
        <v>15</v>
      </c>
      <c r="F7" s="342">
        <v>639</v>
      </c>
      <c r="G7" s="342"/>
      <c r="H7" s="344">
        <v>57.540687409999997</v>
      </c>
      <c r="I7" s="344">
        <v>55.763965379999995</v>
      </c>
      <c r="J7" s="345">
        <f t="shared" si="0"/>
        <v>4</v>
      </c>
      <c r="K7" s="345">
        <f t="shared" si="0"/>
        <v>19</v>
      </c>
      <c r="L7" s="345">
        <f t="shared" si="1"/>
        <v>19</v>
      </c>
      <c r="M7" s="346">
        <f t="shared" si="2"/>
        <v>7.6639761416008545</v>
      </c>
      <c r="N7" s="345">
        <f t="shared" si="3"/>
        <v>13</v>
      </c>
      <c r="O7" s="345">
        <f t="shared" si="4"/>
        <v>21</v>
      </c>
      <c r="P7" s="347">
        <f t="shared" si="5"/>
        <v>690.12590842183511</v>
      </c>
      <c r="Q7" s="345">
        <f t="shared" si="6"/>
        <v>9</v>
      </c>
      <c r="R7" s="346">
        <f t="shared" si="7"/>
        <v>3.186147215128341</v>
      </c>
      <c r="S7" s="346">
        <f t="shared" si="8"/>
        <v>1.843742871479668</v>
      </c>
      <c r="T7" s="345">
        <f t="shared" si="9"/>
        <v>15</v>
      </c>
      <c r="U7"/>
      <c r="V7"/>
      <c r="W7"/>
      <c r="X7"/>
      <c r="Z7"/>
      <c r="AA7"/>
      <c r="AB7"/>
      <c r="AC7"/>
      <c r="AD7"/>
      <c r="AE7"/>
      <c r="AF7"/>
      <c r="AG7"/>
      <c r="AH7"/>
      <c r="AI7"/>
    </row>
    <row r="8" spans="1:35" s="176" customFormat="1" ht="15">
      <c r="A8" s="90">
        <v>4</v>
      </c>
      <c r="B8" s="340" t="s">
        <v>13</v>
      </c>
      <c r="C8" s="341">
        <v>130524.61308288574</v>
      </c>
      <c r="D8" s="342">
        <v>101958.33008880615</v>
      </c>
      <c r="E8" s="342">
        <v>9</v>
      </c>
      <c r="F8" s="342">
        <v>635</v>
      </c>
      <c r="G8" s="342">
        <v>1890.6077252559483</v>
      </c>
      <c r="H8" s="344">
        <v>57.758108749999998</v>
      </c>
      <c r="I8" s="344">
        <v>58.536906889999997</v>
      </c>
      <c r="J8" s="345">
        <f t="shared" si="0"/>
        <v>23</v>
      </c>
      <c r="K8" s="345">
        <f t="shared" si="0"/>
        <v>20</v>
      </c>
      <c r="L8" s="345">
        <f t="shared" si="1"/>
        <v>20</v>
      </c>
      <c r="M8" s="346">
        <f t="shared" si="2"/>
        <v>6.2280345259373338</v>
      </c>
      <c r="N8" s="345">
        <f t="shared" si="3"/>
        <v>29</v>
      </c>
      <c r="O8" s="345">
        <f t="shared" si="4"/>
        <v>20</v>
      </c>
      <c r="P8" s="347">
        <f t="shared" si="5"/>
        <v>566.48739440605232</v>
      </c>
      <c r="Q8" s="345">
        <f t="shared" si="6"/>
        <v>27</v>
      </c>
      <c r="R8" s="346">
        <f t="shared" si="7"/>
        <v>-1.3304395147893324</v>
      </c>
      <c r="S8" s="346">
        <f t="shared" si="8"/>
        <v>-2.6140851412231192</v>
      </c>
      <c r="T8" s="345">
        <f t="shared" si="9"/>
        <v>59</v>
      </c>
      <c r="U8" s="342">
        <v>1890.6077252559483</v>
      </c>
      <c r="V8"/>
      <c r="W8"/>
      <c r="X8"/>
      <c r="Z8"/>
      <c r="AA8"/>
      <c r="AB8"/>
      <c r="AC8"/>
      <c r="AD8"/>
      <c r="AE8"/>
      <c r="AF8"/>
      <c r="AG8"/>
      <c r="AH8"/>
      <c r="AI8"/>
    </row>
    <row r="9" spans="1:35" s="176" customFormat="1" ht="15">
      <c r="A9" s="90">
        <v>5</v>
      </c>
      <c r="B9" s="340" t="s">
        <v>14</v>
      </c>
      <c r="C9" s="341">
        <v>35561.509891067173</v>
      </c>
      <c r="D9" s="342">
        <v>28653.890490402933</v>
      </c>
      <c r="E9" s="342">
        <v>5</v>
      </c>
      <c r="F9" s="342">
        <v>213</v>
      </c>
      <c r="G9" s="342"/>
      <c r="H9" s="344">
        <v>17.616911379999998</v>
      </c>
      <c r="I9" s="344">
        <v>17.675542299999996</v>
      </c>
      <c r="J9" s="345">
        <f t="shared" si="0"/>
        <v>37</v>
      </c>
      <c r="K9" s="345">
        <f t="shared" si="0"/>
        <v>39</v>
      </c>
      <c r="L9" s="345">
        <f t="shared" si="1"/>
        <v>39</v>
      </c>
      <c r="M9" s="346">
        <f t="shared" si="2"/>
        <v>7.4335455449353454</v>
      </c>
      <c r="N9" s="345">
        <f t="shared" si="3"/>
        <v>15</v>
      </c>
      <c r="O9" s="345">
        <f t="shared" si="4"/>
        <v>40</v>
      </c>
      <c r="P9" s="347">
        <f t="shared" si="5"/>
        <v>614.81743241464687</v>
      </c>
      <c r="Q9" s="345">
        <f t="shared" si="6"/>
        <v>23</v>
      </c>
      <c r="R9" s="346">
        <f t="shared" si="7"/>
        <v>-0.33170648461517827</v>
      </c>
      <c r="S9" s="346">
        <f t="shared" si="8"/>
        <v>-1.6283451686835062</v>
      </c>
      <c r="T9" s="345">
        <f t="shared" si="9"/>
        <v>51</v>
      </c>
      <c r="U9"/>
      <c r="V9"/>
      <c r="W9"/>
      <c r="X9"/>
      <c r="Z9"/>
      <c r="AA9"/>
      <c r="AB9"/>
      <c r="AC9"/>
      <c r="AD9"/>
      <c r="AE9"/>
      <c r="AF9"/>
      <c r="AG9"/>
      <c r="AH9"/>
      <c r="AI9"/>
    </row>
    <row r="10" spans="1:35" s="176" customFormat="1" ht="15">
      <c r="A10" s="90">
        <v>6</v>
      </c>
      <c r="B10" s="340" t="s">
        <v>15</v>
      </c>
      <c r="C10" s="341">
        <v>52598.043602551588</v>
      </c>
      <c r="D10" s="342">
        <v>40264.338295073903</v>
      </c>
      <c r="E10" s="342">
        <v>4</v>
      </c>
      <c r="F10" s="342">
        <v>238</v>
      </c>
      <c r="G10" s="342"/>
      <c r="H10" s="344">
        <v>17.178584590000003</v>
      </c>
      <c r="I10" s="344">
        <v>16.4280738</v>
      </c>
      <c r="J10" s="345">
        <f t="shared" si="0"/>
        <v>42</v>
      </c>
      <c r="K10" s="345">
        <f t="shared" si="0"/>
        <v>37</v>
      </c>
      <c r="L10" s="345">
        <f t="shared" si="1"/>
        <v>37</v>
      </c>
      <c r="M10" s="346">
        <f t="shared" si="2"/>
        <v>5.9109378193635393</v>
      </c>
      <c r="N10" s="345">
        <f t="shared" si="3"/>
        <v>34</v>
      </c>
      <c r="O10" s="345">
        <f t="shared" si="4"/>
        <v>41</v>
      </c>
      <c r="P10" s="347">
        <f t="shared" si="5"/>
        <v>426.64514847128879</v>
      </c>
      <c r="Q10" s="345">
        <f t="shared" si="6"/>
        <v>43</v>
      </c>
      <c r="R10" s="346">
        <f t="shared" si="7"/>
        <v>4.5684649286150849</v>
      </c>
      <c r="S10" s="346">
        <f t="shared" si="8"/>
        <v>3.2080772669245099</v>
      </c>
      <c r="T10" s="345">
        <f t="shared" si="9"/>
        <v>10</v>
      </c>
      <c r="U10"/>
      <c r="V10"/>
      <c r="W10"/>
      <c r="X10"/>
      <c r="Z10"/>
      <c r="AA10"/>
      <c r="AB10"/>
      <c r="AC10"/>
      <c r="AD10"/>
      <c r="AE10"/>
      <c r="AF10"/>
      <c r="AG10"/>
      <c r="AH10"/>
      <c r="AI10"/>
    </row>
    <row r="11" spans="1:35" s="176" customFormat="1" ht="15">
      <c r="A11" s="90">
        <v>7</v>
      </c>
      <c r="B11" s="340" t="s">
        <v>16</v>
      </c>
      <c r="C11" s="341">
        <v>105993.59941482544</v>
      </c>
      <c r="D11" s="342">
        <v>82434.834937286374</v>
      </c>
      <c r="E11" s="342">
        <v>5</v>
      </c>
      <c r="F11" s="342">
        <v>208</v>
      </c>
      <c r="G11" s="342">
        <v>597.76700157382857</v>
      </c>
      <c r="H11" s="344">
        <v>13.80786964</v>
      </c>
      <c r="I11" s="344">
        <v>15.378669220000001</v>
      </c>
      <c r="J11" s="345">
        <f t="shared" si="0"/>
        <v>37</v>
      </c>
      <c r="K11" s="345">
        <f t="shared" si="0"/>
        <v>41</v>
      </c>
      <c r="L11" s="345">
        <f t="shared" si="1"/>
        <v>41</v>
      </c>
      <c r="M11" s="346">
        <f t="shared" si="2"/>
        <v>2.5232051493551162</v>
      </c>
      <c r="N11" s="345">
        <f t="shared" si="3"/>
        <v>63</v>
      </c>
      <c r="O11" s="345">
        <f t="shared" si="4"/>
        <v>42</v>
      </c>
      <c r="P11" s="347">
        <f t="shared" si="5"/>
        <v>167.5004220061162</v>
      </c>
      <c r="Q11" s="345">
        <f t="shared" si="6"/>
        <v>65</v>
      </c>
      <c r="R11" s="346">
        <f t="shared" si="7"/>
        <v>-10.214145044209493</v>
      </c>
      <c r="S11" s="346">
        <f t="shared" si="8"/>
        <v>-11.38221774528223</v>
      </c>
      <c r="T11" s="345">
        <f t="shared" si="9"/>
        <v>78</v>
      </c>
      <c r="U11" s="342">
        <v>597.76700157382857</v>
      </c>
      <c r="V11"/>
      <c r="W11"/>
      <c r="X11"/>
      <c r="Z11"/>
      <c r="AA11"/>
      <c r="AB11"/>
      <c r="AC11"/>
      <c r="AD11"/>
      <c r="AE11"/>
      <c r="AF11"/>
      <c r="AG11"/>
      <c r="AH11"/>
      <c r="AI11"/>
    </row>
    <row r="12" spans="1:35" s="176" customFormat="1" ht="15">
      <c r="A12" s="90">
        <v>8</v>
      </c>
      <c r="B12" s="340" t="s">
        <v>17</v>
      </c>
      <c r="C12" s="341">
        <v>14073.344329407559</v>
      </c>
      <c r="D12" s="342">
        <v>11400.611911100368</v>
      </c>
      <c r="E12" s="342">
        <v>3</v>
      </c>
      <c r="F12" s="342">
        <v>105</v>
      </c>
      <c r="G12" s="342"/>
      <c r="H12" s="344">
        <v>5.5104472699999993</v>
      </c>
      <c r="I12" s="344">
        <v>5.5141915800000003</v>
      </c>
      <c r="J12" s="345">
        <f t="shared" si="0"/>
        <v>49</v>
      </c>
      <c r="K12" s="345">
        <f t="shared" si="0"/>
        <v>52</v>
      </c>
      <c r="L12" s="345">
        <f t="shared" si="1"/>
        <v>52</v>
      </c>
      <c r="M12" s="346">
        <f t="shared" si="2"/>
        <v>9.2100319543168769</v>
      </c>
      <c r="N12" s="345">
        <f t="shared" si="3"/>
        <v>5</v>
      </c>
      <c r="O12" s="345">
        <f t="shared" si="4"/>
        <v>56</v>
      </c>
      <c r="P12" s="347">
        <f t="shared" si="5"/>
        <v>483.34662323122092</v>
      </c>
      <c r="Q12" s="345">
        <f t="shared" si="6"/>
        <v>38</v>
      </c>
      <c r="R12" s="346">
        <f t="shared" si="7"/>
        <v>-6.7903153992356788E-2</v>
      </c>
      <c r="S12" s="346">
        <f t="shared" si="8"/>
        <v>-1.3679737981294873</v>
      </c>
      <c r="T12" s="345">
        <f t="shared" si="9"/>
        <v>48</v>
      </c>
      <c r="U12"/>
      <c r="V12"/>
      <c r="W12"/>
      <c r="X12"/>
      <c r="Z12"/>
      <c r="AA12"/>
      <c r="AB12"/>
      <c r="AC12"/>
      <c r="AD12"/>
      <c r="AE12"/>
      <c r="AF12"/>
      <c r="AG12"/>
      <c r="AH12"/>
      <c r="AI12"/>
    </row>
    <row r="13" spans="1:35" s="176" customFormat="1" ht="15">
      <c r="A13" s="90">
        <v>9</v>
      </c>
      <c r="B13" s="340" t="s">
        <v>18</v>
      </c>
      <c r="C13" s="341">
        <v>182113.91459083557</v>
      </c>
      <c r="D13" s="342">
        <v>143417.25187416078</v>
      </c>
      <c r="E13" s="342">
        <v>4</v>
      </c>
      <c r="F13" s="342">
        <v>162</v>
      </c>
      <c r="G13" s="342">
        <v>613.98236564069384</v>
      </c>
      <c r="H13" s="344">
        <v>20.450974239999997</v>
      </c>
      <c r="I13" s="344">
        <v>20.325757289999999</v>
      </c>
      <c r="J13" s="345">
        <f t="shared" si="0"/>
        <v>42</v>
      </c>
      <c r="K13" s="345">
        <f t="shared" si="0"/>
        <v>43</v>
      </c>
      <c r="L13" s="345">
        <f t="shared" si="1"/>
        <v>43</v>
      </c>
      <c r="M13" s="346">
        <f t="shared" si="2"/>
        <v>1.1295712188248062</v>
      </c>
      <c r="N13" s="345">
        <f t="shared" si="3"/>
        <v>69</v>
      </c>
      <c r="O13" s="345">
        <f t="shared" si="4"/>
        <v>36</v>
      </c>
      <c r="P13" s="347">
        <f t="shared" si="5"/>
        <v>142.59772776809572</v>
      </c>
      <c r="Q13" s="345">
        <f t="shared" si="6"/>
        <v>67</v>
      </c>
      <c r="R13" s="346">
        <f t="shared" si="7"/>
        <v>0.61605060128118194</v>
      </c>
      <c r="S13" s="346">
        <f t="shared" si="8"/>
        <v>-0.69291796681875395</v>
      </c>
      <c r="T13" s="345">
        <f t="shared" si="9"/>
        <v>44</v>
      </c>
      <c r="U13" s="342">
        <v>613.98236564069384</v>
      </c>
      <c r="V13"/>
      <c r="W13"/>
      <c r="X13"/>
      <c r="Z13"/>
      <c r="AA13"/>
      <c r="AB13"/>
      <c r="AC13"/>
      <c r="AD13"/>
      <c r="AE13"/>
      <c r="AF13"/>
      <c r="AG13"/>
      <c r="AH13"/>
      <c r="AI13"/>
    </row>
    <row r="14" spans="1:35" s="176" customFormat="1" ht="15">
      <c r="A14" s="90">
        <v>10</v>
      </c>
      <c r="B14" s="340" t="s">
        <v>19</v>
      </c>
      <c r="C14" s="341">
        <v>208773.48214673996</v>
      </c>
      <c r="D14" s="342">
        <v>162568.35754957199</v>
      </c>
      <c r="E14" s="342">
        <v>15</v>
      </c>
      <c r="F14" s="342">
        <v>952</v>
      </c>
      <c r="G14" s="342">
        <v>3586.4222715317137</v>
      </c>
      <c r="H14" s="344">
        <v>142.90424784000001</v>
      </c>
      <c r="I14" s="344">
        <v>139.50722515000001</v>
      </c>
      <c r="J14" s="345">
        <f t="shared" si="0"/>
        <v>4</v>
      </c>
      <c r="K14" s="345">
        <f t="shared" si="0"/>
        <v>4</v>
      </c>
      <c r="L14" s="345">
        <f t="shared" si="1"/>
        <v>4</v>
      </c>
      <c r="M14" s="346">
        <f t="shared" si="2"/>
        <v>5.8559981434868504</v>
      </c>
      <c r="N14" s="345">
        <f t="shared" si="3"/>
        <v>36</v>
      </c>
      <c r="O14" s="345">
        <f t="shared" si="4"/>
        <v>1</v>
      </c>
      <c r="P14" s="347">
        <f t="shared" si="5"/>
        <v>879.04097694057225</v>
      </c>
      <c r="Q14" s="345">
        <f t="shared" si="6"/>
        <v>2</v>
      </c>
      <c r="R14" s="346">
        <f t="shared" si="7"/>
        <v>2.4350155960363171</v>
      </c>
      <c r="S14" s="346">
        <f t="shared" si="8"/>
        <v>1.1023831294790429</v>
      </c>
      <c r="T14" s="345">
        <f t="shared" si="9"/>
        <v>23</v>
      </c>
      <c r="U14" s="342">
        <v>3586.4222715317137</v>
      </c>
      <c r="V14"/>
      <c r="W14"/>
      <c r="X14"/>
      <c r="Z14"/>
      <c r="AA14"/>
      <c r="AB14"/>
      <c r="AC14"/>
      <c r="AD14"/>
      <c r="AE14"/>
      <c r="AF14"/>
      <c r="AG14"/>
      <c r="AH14"/>
      <c r="AI14"/>
    </row>
    <row r="15" spans="1:35" s="176" customFormat="1" ht="15">
      <c r="A15" s="90">
        <v>11</v>
      </c>
      <c r="B15" s="340" t="s">
        <v>20</v>
      </c>
      <c r="C15" s="341">
        <v>6177.7302093505859</v>
      </c>
      <c r="D15" s="342">
        <v>4963.8882461547855</v>
      </c>
      <c r="E15" s="342">
        <v>0</v>
      </c>
      <c r="F15" s="342">
        <v>0</v>
      </c>
      <c r="G15" s="342"/>
      <c r="H15" s="344">
        <v>0</v>
      </c>
      <c r="I15" s="344">
        <v>0</v>
      </c>
      <c r="J15" s="345">
        <f t="shared" si="0"/>
        <v>70</v>
      </c>
      <c r="K15" s="345">
        <f t="shared" si="0"/>
        <v>70</v>
      </c>
      <c r="L15" s="345">
        <f t="shared" si="1"/>
        <v>70</v>
      </c>
      <c r="M15" s="346">
        <f t="shared" si="2"/>
        <v>0</v>
      </c>
      <c r="N15" s="345">
        <f t="shared" si="3"/>
        <v>70</v>
      </c>
      <c r="O15" s="345">
        <f t="shared" si="4"/>
        <v>70</v>
      </c>
      <c r="P15" s="347">
        <f t="shared" si="5"/>
        <v>0</v>
      </c>
      <c r="Q15" s="345">
        <f t="shared" si="6"/>
        <v>70</v>
      </c>
      <c r="R15" s="346"/>
      <c r="S15" s="346">
        <v>0</v>
      </c>
      <c r="T15" s="345">
        <f t="shared" si="9"/>
        <v>31</v>
      </c>
      <c r="U15"/>
      <c r="V15"/>
      <c r="W15"/>
      <c r="X15"/>
      <c r="Z15"/>
      <c r="AA15"/>
      <c r="AB15"/>
      <c r="AC15"/>
      <c r="AD15"/>
      <c r="AE15"/>
      <c r="AF15"/>
      <c r="AG15"/>
      <c r="AH15"/>
      <c r="AI15"/>
    </row>
    <row r="16" spans="1:35" s="176" customFormat="1" ht="15">
      <c r="A16" s="90">
        <v>12</v>
      </c>
      <c r="B16" s="340" t="s">
        <v>21</v>
      </c>
      <c r="C16" s="341">
        <v>37675.695402854908</v>
      </c>
      <c r="D16" s="342">
        <v>29564.68829913294</v>
      </c>
      <c r="E16" s="342">
        <v>4</v>
      </c>
      <c r="F16" s="342">
        <v>209</v>
      </c>
      <c r="G16" s="342"/>
      <c r="H16" s="344">
        <v>8.8630736799999994</v>
      </c>
      <c r="I16" s="344">
        <v>8.2653728500000003</v>
      </c>
      <c r="J16" s="345">
        <f t="shared" si="0"/>
        <v>42</v>
      </c>
      <c r="K16" s="345">
        <f t="shared" si="0"/>
        <v>40</v>
      </c>
      <c r="L16" s="345">
        <f t="shared" si="1"/>
        <v>40</v>
      </c>
      <c r="M16" s="346">
        <f t="shared" si="2"/>
        <v>7.0692441565882991</v>
      </c>
      <c r="N16" s="345">
        <f t="shared" si="3"/>
        <v>20</v>
      </c>
      <c r="O16" s="345">
        <f t="shared" si="4"/>
        <v>48</v>
      </c>
      <c r="P16" s="347">
        <f>H16/D16*1000000</f>
        <v>299.78579819019876</v>
      </c>
      <c r="Q16" s="345">
        <f t="shared" si="6"/>
        <v>50</v>
      </c>
      <c r="R16" s="346">
        <f t="shared" si="7"/>
        <v>7.2313837602619353</v>
      </c>
      <c r="S16" s="346">
        <f t="shared" si="8"/>
        <v>5.8363527486366715</v>
      </c>
      <c r="T16" s="345">
        <f t="shared" si="9"/>
        <v>6</v>
      </c>
      <c r="U16"/>
      <c r="V16"/>
      <c r="W16"/>
      <c r="X16"/>
      <c r="Z16"/>
      <c r="AA16"/>
      <c r="AB16"/>
      <c r="AC16"/>
      <c r="AD16"/>
      <c r="AE16"/>
      <c r="AF16"/>
      <c r="AG16"/>
      <c r="AH16"/>
      <c r="AI16"/>
    </row>
    <row r="17" spans="1:35" s="176" customFormat="1" ht="15">
      <c r="A17" s="90">
        <v>13</v>
      </c>
      <c r="B17" s="340" t="s">
        <v>22</v>
      </c>
      <c r="C17" s="341">
        <v>110136.53857181223</v>
      </c>
      <c r="D17" s="342">
        <v>80288.019753630011</v>
      </c>
      <c r="E17" s="342">
        <v>5</v>
      </c>
      <c r="F17" s="342">
        <v>325</v>
      </c>
      <c r="G17" s="342"/>
      <c r="H17" s="344">
        <v>28.545146739999996</v>
      </c>
      <c r="I17" s="344">
        <v>29.046899530000001</v>
      </c>
      <c r="J17" s="345">
        <f t="shared" si="0"/>
        <v>37</v>
      </c>
      <c r="K17" s="345">
        <f t="shared" si="0"/>
        <v>32</v>
      </c>
      <c r="L17" s="345">
        <f t="shared" si="1"/>
        <v>32</v>
      </c>
      <c r="M17" s="346">
        <f t="shared" si="2"/>
        <v>4.0479264652097235</v>
      </c>
      <c r="N17" s="345">
        <f t="shared" si="3"/>
        <v>53</v>
      </c>
      <c r="O17" s="345">
        <f t="shared" si="4"/>
        <v>32</v>
      </c>
      <c r="P17" s="347">
        <f t="shared" si="5"/>
        <v>355.5343228988956</v>
      </c>
      <c r="Q17" s="345">
        <f t="shared" si="6"/>
        <v>48</v>
      </c>
      <c r="R17" s="346">
        <f t="shared" si="7"/>
        <v>-1.7273884583853372</v>
      </c>
      <c r="S17" s="346">
        <f t="shared" si="8"/>
        <v>-3.0058699615286391</v>
      </c>
      <c r="T17" s="345">
        <f t="shared" si="9"/>
        <v>63</v>
      </c>
      <c r="U17"/>
      <c r="V17"/>
      <c r="W17"/>
      <c r="X17"/>
      <c r="Z17"/>
      <c r="AA17"/>
      <c r="AB17"/>
      <c r="AC17"/>
      <c r="AD17"/>
      <c r="AE17"/>
      <c r="AF17"/>
      <c r="AG17"/>
      <c r="AH17"/>
      <c r="AI17"/>
    </row>
    <row r="18" spans="1:35" s="176" customFormat="1" ht="15">
      <c r="A18" s="90">
        <v>14</v>
      </c>
      <c r="B18" s="340" t="s">
        <v>23</v>
      </c>
      <c r="C18" s="341">
        <v>345156.26923561096</v>
      </c>
      <c r="D18" s="342">
        <v>252823.02427406312</v>
      </c>
      <c r="E18" s="342">
        <v>13</v>
      </c>
      <c r="F18" s="342">
        <v>913</v>
      </c>
      <c r="G18" s="342"/>
      <c r="H18" s="344">
        <v>132.36062196</v>
      </c>
      <c r="I18" s="344">
        <v>131.51417463999999</v>
      </c>
      <c r="J18" s="345">
        <f t="shared" si="0"/>
        <v>9</v>
      </c>
      <c r="K18" s="345">
        <f t="shared" si="0"/>
        <v>5</v>
      </c>
      <c r="L18" s="345">
        <f t="shared" si="1"/>
        <v>5</v>
      </c>
      <c r="M18" s="346">
        <f>F18/D18*1000</f>
        <v>3.6112217335486712</v>
      </c>
      <c r="N18" s="345">
        <f t="shared" si="3"/>
        <v>57</v>
      </c>
      <c r="O18" s="345">
        <f t="shared" si="4"/>
        <v>2</v>
      </c>
      <c r="P18" s="347">
        <f t="shared" si="5"/>
        <v>523.5307280262557</v>
      </c>
      <c r="Q18" s="345">
        <f t="shared" si="6"/>
        <v>36</v>
      </c>
      <c r="R18" s="346">
        <f t="shared" si="7"/>
        <v>0.6436167982021942</v>
      </c>
      <c r="S18" s="346">
        <f t="shared" si="8"/>
        <v>-0.66571039344830707</v>
      </c>
      <c r="T18" s="345">
        <f t="shared" si="9"/>
        <v>43</v>
      </c>
      <c r="U18"/>
      <c r="V18"/>
      <c r="W18"/>
      <c r="X18"/>
      <c r="Z18"/>
      <c r="AA18"/>
      <c r="AB18"/>
      <c r="AC18"/>
      <c r="AD18"/>
      <c r="AE18"/>
      <c r="AF18"/>
      <c r="AG18"/>
      <c r="AH18"/>
      <c r="AI18"/>
    </row>
    <row r="19" spans="1:35" s="176" customFormat="1" ht="15">
      <c r="A19" s="90">
        <v>15</v>
      </c>
      <c r="B19" s="340" t="s">
        <v>26</v>
      </c>
      <c r="C19" s="341">
        <v>13232.194500680773</v>
      </c>
      <c r="D19" s="342">
        <v>10744.232114764709</v>
      </c>
      <c r="E19" s="342">
        <v>2</v>
      </c>
      <c r="F19" s="342">
        <v>99</v>
      </c>
      <c r="G19" s="342"/>
      <c r="H19" s="344">
        <v>7.4576342899999997</v>
      </c>
      <c r="I19" s="344">
        <v>7.6889270999999999</v>
      </c>
      <c r="J19" s="345">
        <f>RANK(E19,E$5:E$83)</f>
        <v>56</v>
      </c>
      <c r="K19" s="345">
        <f t="shared" si="0"/>
        <v>56</v>
      </c>
      <c r="L19" s="345">
        <f t="shared" si="1"/>
        <v>56</v>
      </c>
      <c r="M19" s="346">
        <f t="shared" si="2"/>
        <v>9.2142462060135824</v>
      </c>
      <c r="N19" s="345">
        <f t="shared" si="3"/>
        <v>4</v>
      </c>
      <c r="O19" s="345">
        <f t="shared" si="4"/>
        <v>52</v>
      </c>
      <c r="P19" s="347">
        <f t="shared" si="5"/>
        <v>694.10584305524526</v>
      </c>
      <c r="Q19" s="345">
        <f t="shared" si="6"/>
        <v>8</v>
      </c>
      <c r="R19" s="346">
        <f t="shared" si="7"/>
        <v>-3.0081285333034335</v>
      </c>
      <c r="S19" s="346">
        <f t="shared" si="8"/>
        <v>-4.2699481967903816</v>
      </c>
      <c r="T19" s="345">
        <f t="shared" si="9"/>
        <v>68</v>
      </c>
      <c r="U19"/>
      <c r="V19"/>
      <c r="W19"/>
      <c r="X19"/>
      <c r="Z19"/>
      <c r="AA19"/>
      <c r="AB19"/>
      <c r="AC19"/>
      <c r="AD19"/>
      <c r="AE19"/>
      <c r="AF19"/>
      <c r="AG19"/>
      <c r="AH19"/>
      <c r="AI19"/>
    </row>
    <row r="20" spans="1:35" s="176" customFormat="1" ht="15">
      <c r="A20" s="90">
        <v>16</v>
      </c>
      <c r="B20" s="340" t="s">
        <v>25</v>
      </c>
      <c r="C20" s="341">
        <v>21492.90197838546</v>
      </c>
      <c r="D20" s="342">
        <v>16966.33580859124</v>
      </c>
      <c r="E20" s="342">
        <v>5</v>
      </c>
      <c r="F20" s="342">
        <v>110</v>
      </c>
      <c r="G20" s="342"/>
      <c r="H20" s="344">
        <v>7.9907961000000007</v>
      </c>
      <c r="I20" s="344">
        <v>7.7200863000000002</v>
      </c>
      <c r="J20" s="345">
        <f t="shared" si="0"/>
        <v>37</v>
      </c>
      <c r="K20" s="345">
        <f t="shared" si="0"/>
        <v>50</v>
      </c>
      <c r="L20" s="345">
        <f>RANK(F20,F$5:F$83)</f>
        <v>50</v>
      </c>
      <c r="M20" s="346">
        <f t="shared" si="2"/>
        <v>6.4834270193036803</v>
      </c>
      <c r="N20" s="345">
        <f t="shared" si="3"/>
        <v>25</v>
      </c>
      <c r="O20" s="345">
        <f t="shared" si="4"/>
        <v>50</v>
      </c>
      <c r="P20" s="347">
        <f t="shared" si="5"/>
        <v>470.97948491351343</v>
      </c>
      <c r="Q20" s="345">
        <f t="shared" si="6"/>
        <v>39</v>
      </c>
      <c r="R20" s="346">
        <f t="shared" si="7"/>
        <v>3.5065644279132031</v>
      </c>
      <c r="S20" s="346">
        <f t="shared" si="8"/>
        <v>2.1599916036125166</v>
      </c>
      <c r="T20" s="345">
        <f t="shared" si="9"/>
        <v>13</v>
      </c>
      <c r="U20"/>
      <c r="V20"/>
      <c r="W20"/>
      <c r="X20"/>
      <c r="Z20"/>
      <c r="AA20"/>
      <c r="AB20"/>
      <c r="AC20"/>
      <c r="AD20"/>
      <c r="AE20"/>
      <c r="AF20"/>
      <c r="AG20"/>
      <c r="AH20"/>
      <c r="AI20"/>
    </row>
    <row r="21" spans="1:35" s="176" customFormat="1" ht="15">
      <c r="A21" s="90">
        <v>17</v>
      </c>
      <c r="B21" s="340" t="s">
        <v>42</v>
      </c>
      <c r="C21" s="341">
        <v>16025.361154394064</v>
      </c>
      <c r="D21" s="342">
        <v>12534.041531538376</v>
      </c>
      <c r="E21" s="342">
        <v>2</v>
      </c>
      <c r="F21" s="342">
        <v>57</v>
      </c>
      <c r="G21" s="342"/>
      <c r="H21" s="344">
        <v>2.7608233199999996</v>
      </c>
      <c r="I21" s="344">
        <v>2.5227054999999998</v>
      </c>
      <c r="J21" s="345">
        <f t="shared" si="0"/>
        <v>56</v>
      </c>
      <c r="K21" s="345">
        <f>RANK(F21,F$5:F$83)</f>
        <v>62</v>
      </c>
      <c r="L21" s="345">
        <f t="shared" si="1"/>
        <v>62</v>
      </c>
      <c r="M21" s="346">
        <f t="shared" si="2"/>
        <v>4.5476153766185945</v>
      </c>
      <c r="N21" s="345">
        <f t="shared" si="3"/>
        <v>44</v>
      </c>
      <c r="O21" s="345">
        <f t="shared" si="4"/>
        <v>63</v>
      </c>
      <c r="P21" s="347">
        <f t="shared" si="5"/>
        <v>220.26601021331925</v>
      </c>
      <c r="Q21" s="345">
        <f t="shared" si="6"/>
        <v>57</v>
      </c>
      <c r="R21" s="346">
        <f t="shared" si="7"/>
        <v>9.4389860409786177</v>
      </c>
      <c r="S21" s="346">
        <f t="shared" si="8"/>
        <v>8.015235138450711</v>
      </c>
      <c r="T21" s="345">
        <f t="shared" si="9"/>
        <v>5</v>
      </c>
      <c r="U21"/>
      <c r="V21"/>
      <c r="W21"/>
      <c r="X21"/>
      <c r="Z21"/>
      <c r="AA21"/>
      <c r="AB21"/>
      <c r="AC21"/>
      <c r="AD21"/>
      <c r="AE21"/>
      <c r="AF21"/>
      <c r="AG21"/>
      <c r="AH21"/>
      <c r="AI21"/>
    </row>
    <row r="22" spans="1:35" s="176" customFormat="1" ht="15">
      <c r="A22" s="90">
        <v>18</v>
      </c>
      <c r="B22" s="340" t="s">
        <v>43</v>
      </c>
      <c r="C22" s="341">
        <v>162089.17853164673</v>
      </c>
      <c r="D22" s="342">
        <v>131481.98242721558</v>
      </c>
      <c r="E22" s="342">
        <v>12</v>
      </c>
      <c r="F22" s="342">
        <v>744</v>
      </c>
      <c r="G22" s="342">
        <v>2718.8102148419762</v>
      </c>
      <c r="H22" s="344">
        <v>81.57611009</v>
      </c>
      <c r="I22" s="344">
        <v>82.129607700000008</v>
      </c>
      <c r="J22" s="345">
        <f t="shared" si="0"/>
        <v>12</v>
      </c>
      <c r="K22" s="345">
        <f t="shared" si="0"/>
        <v>14</v>
      </c>
      <c r="L22" s="345">
        <f t="shared" si="1"/>
        <v>14</v>
      </c>
      <c r="M22" s="346">
        <f t="shared" si="2"/>
        <v>5.6585699900886093</v>
      </c>
      <c r="N22" s="345">
        <f t="shared" si="3"/>
        <v>37</v>
      </c>
      <c r="O22" s="345">
        <f t="shared" si="4"/>
        <v>12</v>
      </c>
      <c r="P22" s="347">
        <f t="shared" si="5"/>
        <v>620.43565653687995</v>
      </c>
      <c r="Q22" s="345">
        <f t="shared" si="6"/>
        <v>21</v>
      </c>
      <c r="R22" s="346">
        <f t="shared" si="7"/>
        <v>-0.67393188096283563</v>
      </c>
      <c r="S22" s="346">
        <f t="shared" si="8"/>
        <v>-1.9661183699355707</v>
      </c>
      <c r="T22" s="345">
        <f t="shared" si="9"/>
        <v>54</v>
      </c>
      <c r="U22" s="342">
        <v>2718.8102148419762</v>
      </c>
      <c r="V22"/>
      <c r="W22"/>
      <c r="X22"/>
      <c r="Z22"/>
      <c r="AA22"/>
      <c r="AB22"/>
      <c r="AC22"/>
      <c r="AD22"/>
      <c r="AE22"/>
      <c r="AF22"/>
      <c r="AG22"/>
      <c r="AH22"/>
      <c r="AI22"/>
    </row>
    <row r="23" spans="1:35" s="176" customFormat="1" ht="15">
      <c r="A23" s="90">
        <v>19</v>
      </c>
      <c r="B23" s="340" t="s">
        <v>44</v>
      </c>
      <c r="C23" s="341">
        <v>46958.237652449592</v>
      </c>
      <c r="D23" s="342">
        <v>37838.175959088941</v>
      </c>
      <c r="E23" s="342">
        <v>10</v>
      </c>
      <c r="F23" s="342">
        <v>331</v>
      </c>
      <c r="G23" s="342"/>
      <c r="H23" s="344">
        <v>25.103671730000006</v>
      </c>
      <c r="I23" s="344">
        <v>24.387766160000002</v>
      </c>
      <c r="J23" s="345">
        <f t="shared" si="0"/>
        <v>18</v>
      </c>
      <c r="K23" s="345">
        <f t="shared" si="0"/>
        <v>30</v>
      </c>
      <c r="L23" s="345">
        <f t="shared" si="1"/>
        <v>30</v>
      </c>
      <c r="M23" s="346">
        <f t="shared" si="2"/>
        <v>8.7477789721650669</v>
      </c>
      <c r="N23" s="345">
        <f t="shared" si="3"/>
        <v>9</v>
      </c>
      <c r="O23" s="345">
        <f t="shared" si="4"/>
        <v>34</v>
      </c>
      <c r="P23" s="347">
        <f t="shared" si="5"/>
        <v>663.44825282123475</v>
      </c>
      <c r="Q23" s="345">
        <f t="shared" si="6"/>
        <v>14</v>
      </c>
      <c r="R23" s="346">
        <f t="shared" si="7"/>
        <v>2.9355110480524789</v>
      </c>
      <c r="S23" s="346">
        <f t="shared" si="8"/>
        <v>1.596367365727416</v>
      </c>
      <c r="T23" s="345">
        <f t="shared" si="9"/>
        <v>19</v>
      </c>
      <c r="U23"/>
      <c r="V23"/>
      <c r="W23"/>
      <c r="X23"/>
      <c r="Z23"/>
      <c r="AA23"/>
      <c r="AB23"/>
      <c r="AC23"/>
      <c r="AD23"/>
      <c r="AE23"/>
      <c r="AF23"/>
      <c r="AG23"/>
      <c r="AH23"/>
      <c r="AI23"/>
    </row>
    <row r="24" spans="1:35" s="176" customFormat="1" ht="15">
      <c r="A24" s="90">
        <v>20</v>
      </c>
      <c r="B24" s="340" t="s">
        <v>45</v>
      </c>
      <c r="C24" s="341">
        <v>142665.31364250183</v>
      </c>
      <c r="D24" s="342">
        <v>110842.48207817078</v>
      </c>
      <c r="E24" s="342">
        <v>9</v>
      </c>
      <c r="F24" s="342">
        <v>519</v>
      </c>
      <c r="G24" s="342">
        <v>2007.1326804963817</v>
      </c>
      <c r="H24" s="344">
        <v>62.253454899999994</v>
      </c>
      <c r="I24" s="344">
        <v>64.622291400000009</v>
      </c>
      <c r="J24" s="345">
        <f t="shared" si="0"/>
        <v>23</v>
      </c>
      <c r="K24" s="345">
        <f t="shared" si="0"/>
        <v>24</v>
      </c>
      <c r="L24" s="345">
        <f t="shared" si="1"/>
        <v>24</v>
      </c>
      <c r="M24" s="346">
        <f t="shared" si="2"/>
        <v>4.6823202644810804</v>
      </c>
      <c r="N24" s="345">
        <f t="shared" si="3"/>
        <v>43</v>
      </c>
      <c r="O24" s="345">
        <f t="shared" si="4"/>
        <v>19</v>
      </c>
      <c r="P24" s="347">
        <f t="shared" si="5"/>
        <v>561.63894684437184</v>
      </c>
      <c r="Q24" s="345">
        <f t="shared" si="6"/>
        <v>30</v>
      </c>
      <c r="R24" s="346">
        <f t="shared" si="7"/>
        <v>-3.6656646625811451</v>
      </c>
      <c r="S24" s="346">
        <f t="shared" si="8"/>
        <v>-4.9189300832760887</v>
      </c>
      <c r="T24" s="345">
        <f t="shared" si="9"/>
        <v>70</v>
      </c>
      <c r="U24" s="342">
        <v>2007.1326804963817</v>
      </c>
      <c r="V24"/>
      <c r="W24"/>
      <c r="X24"/>
      <c r="Z24"/>
      <c r="AA24"/>
      <c r="AB24"/>
      <c r="AC24"/>
      <c r="AD24"/>
      <c r="AE24"/>
      <c r="AF24"/>
      <c r="AG24"/>
      <c r="AH24"/>
      <c r="AI24"/>
    </row>
    <row r="25" spans="1:35" s="176" customFormat="1" ht="15">
      <c r="A25" s="90">
        <v>21</v>
      </c>
      <c r="B25" s="340" t="s">
        <v>46</v>
      </c>
      <c r="C25" s="341">
        <v>10527.362385995191</v>
      </c>
      <c r="D25" s="342">
        <v>8430.8387684280169</v>
      </c>
      <c r="E25" s="342">
        <v>1</v>
      </c>
      <c r="F25" s="342">
        <v>45</v>
      </c>
      <c r="G25" s="342"/>
      <c r="H25" s="344">
        <v>1.9422688599999998</v>
      </c>
      <c r="I25" s="344">
        <v>1.9155705699999999</v>
      </c>
      <c r="J25" s="345">
        <f t="shared" si="0"/>
        <v>64</v>
      </c>
      <c r="K25" s="345">
        <f t="shared" si="0"/>
        <v>64</v>
      </c>
      <c r="L25" s="345">
        <f t="shared" si="1"/>
        <v>64</v>
      </c>
      <c r="M25" s="346">
        <f t="shared" si="2"/>
        <v>5.3375472163596518</v>
      </c>
      <c r="N25" s="345">
        <f t="shared" si="3"/>
        <v>39</v>
      </c>
      <c r="O25" s="345">
        <f t="shared" si="4"/>
        <v>65</v>
      </c>
      <c r="P25" s="347">
        <f t="shared" si="5"/>
        <v>230.37670549144519</v>
      </c>
      <c r="Q25" s="345">
        <f t="shared" si="6"/>
        <v>56</v>
      </c>
      <c r="R25" s="346">
        <f t="shared" si="7"/>
        <v>1.3937513145234792</v>
      </c>
      <c r="S25" s="346">
        <f t="shared" si="8"/>
        <v>7.4665217630277114E-2</v>
      </c>
      <c r="T25" s="345">
        <f t="shared" si="9"/>
        <v>29</v>
      </c>
      <c r="U25"/>
      <c r="V25"/>
      <c r="W25"/>
      <c r="X25"/>
      <c r="Z25"/>
      <c r="AA25"/>
      <c r="AB25"/>
      <c r="AC25"/>
      <c r="AD25"/>
      <c r="AE25"/>
      <c r="AF25"/>
      <c r="AG25"/>
      <c r="AH25"/>
      <c r="AI25"/>
    </row>
    <row r="26" spans="1:35" s="176" customFormat="1" ht="15">
      <c r="A26" s="90">
        <v>22</v>
      </c>
      <c r="B26" s="340" t="s">
        <v>47</v>
      </c>
      <c r="C26" s="341">
        <v>153731.05015182495</v>
      </c>
      <c r="D26" s="342">
        <v>120385.37865524291</v>
      </c>
      <c r="E26" s="342">
        <v>11</v>
      </c>
      <c r="F26" s="342">
        <v>780</v>
      </c>
      <c r="G26" s="342"/>
      <c r="H26" s="344">
        <v>74.244676720000001</v>
      </c>
      <c r="I26" s="344">
        <v>77.1714664</v>
      </c>
      <c r="J26" s="345">
        <f>RANK(E26,E$5:E$83)</f>
        <v>14</v>
      </c>
      <c r="K26" s="345">
        <f>RANK(F26,F$5:F$83)</f>
        <v>10</v>
      </c>
      <c r="L26" s="345">
        <f>RANK(F26,F$5:F$83)</f>
        <v>10</v>
      </c>
      <c r="M26" s="346">
        <f>F26/D26*1000</f>
        <v>6.4791921470276508</v>
      </c>
      <c r="N26" s="345">
        <f t="shared" si="3"/>
        <v>26</v>
      </c>
      <c r="O26" s="345">
        <f>RANK(H26,H$5:H$83)</f>
        <v>14</v>
      </c>
      <c r="P26" s="347">
        <f>H26/D26*1000000</f>
        <v>616.72503379850082</v>
      </c>
      <c r="Q26" s="345">
        <f t="shared" si="6"/>
        <v>22</v>
      </c>
      <c r="R26" s="346">
        <f>(H26-I26)/I26*100</f>
        <v>-3.7925801031558457</v>
      </c>
      <c r="S26" s="346">
        <f>IF((I26*H$3/I$3)&gt;0,(H26-(I26*H$3/I$3))/(I26*H$3/I$3)*100,"")</f>
        <v>-5.0441944123081965</v>
      </c>
      <c r="T26" s="345">
        <f t="shared" si="9"/>
        <v>72</v>
      </c>
      <c r="U26"/>
      <c r="V26"/>
      <c r="W26"/>
      <c r="X26"/>
      <c r="Z26"/>
      <c r="AA26"/>
      <c r="AB26"/>
      <c r="AC26"/>
      <c r="AD26"/>
      <c r="AE26"/>
      <c r="AF26"/>
      <c r="AG26"/>
      <c r="AH26"/>
      <c r="AI26"/>
    </row>
    <row r="27" spans="1:35" s="176" customFormat="1" ht="15">
      <c r="A27" s="90">
        <v>23</v>
      </c>
      <c r="B27" s="340" t="s">
        <v>48</v>
      </c>
      <c r="C27" s="341">
        <v>19670.285966014431</v>
      </c>
      <c r="D27" s="342">
        <v>15779.961642510412</v>
      </c>
      <c r="E27" s="342">
        <v>4</v>
      </c>
      <c r="F27" s="342">
        <v>120</v>
      </c>
      <c r="G27" s="342"/>
      <c r="H27" s="344">
        <v>7.0399264100000005</v>
      </c>
      <c r="I27" s="344">
        <v>6.9194111500000002</v>
      </c>
      <c r="J27" s="345">
        <f t="shared" si="0"/>
        <v>42</v>
      </c>
      <c r="K27" s="345">
        <f t="shared" si="0"/>
        <v>48</v>
      </c>
      <c r="L27" s="345">
        <f t="shared" si="1"/>
        <v>48</v>
      </c>
      <c r="M27" s="346">
        <f t="shared" si="2"/>
        <v>7.604581222601082</v>
      </c>
      <c r="N27" s="345">
        <f>RANK(M27,M$5:M$83)</f>
        <v>14</v>
      </c>
      <c r="O27" s="345">
        <f t="shared" si="4"/>
        <v>53</v>
      </c>
      <c r="P27" s="347">
        <f t="shared" si="5"/>
        <v>446.13076821649537</v>
      </c>
      <c r="Q27" s="345">
        <f t="shared" si="6"/>
        <v>40</v>
      </c>
      <c r="R27" s="346">
        <f t="shared" si="7"/>
        <v>1.7416982079465004</v>
      </c>
      <c r="S27" s="346">
        <f t="shared" si="8"/>
        <v>0.41808548191077161</v>
      </c>
      <c r="T27" s="345">
        <f t="shared" si="9"/>
        <v>25</v>
      </c>
      <c r="U27" s="342"/>
      <c r="V27"/>
      <c r="W27"/>
      <c r="X27"/>
      <c r="Z27"/>
      <c r="AA27"/>
      <c r="AB27"/>
      <c r="AC27"/>
      <c r="AD27"/>
      <c r="AE27"/>
      <c r="AF27"/>
      <c r="AG27"/>
      <c r="AH27"/>
      <c r="AI27"/>
    </row>
    <row r="28" spans="1:35" s="176" customFormat="1" ht="15">
      <c r="A28" s="90">
        <v>24</v>
      </c>
      <c r="B28" s="340" t="s">
        <v>49</v>
      </c>
      <c r="C28" s="341">
        <v>23353.627320766449</v>
      </c>
      <c r="D28" s="342">
        <v>17146.873099422453</v>
      </c>
      <c r="E28" s="342">
        <v>0</v>
      </c>
      <c r="F28" s="342">
        <v>0</v>
      </c>
      <c r="G28" s="342"/>
      <c r="H28" s="344">
        <v>0</v>
      </c>
      <c r="I28" s="344">
        <v>0</v>
      </c>
      <c r="J28" s="345">
        <f t="shared" si="0"/>
        <v>70</v>
      </c>
      <c r="K28" s="345">
        <f t="shared" si="0"/>
        <v>70</v>
      </c>
      <c r="L28" s="345">
        <f t="shared" si="1"/>
        <v>70</v>
      </c>
      <c r="M28" s="346">
        <f t="shared" si="2"/>
        <v>0</v>
      </c>
      <c r="N28" s="345">
        <f t="shared" si="3"/>
        <v>70</v>
      </c>
      <c r="O28" s="345">
        <f t="shared" si="4"/>
        <v>70</v>
      </c>
      <c r="P28" s="347">
        <f t="shared" si="5"/>
        <v>0</v>
      </c>
      <c r="Q28" s="345">
        <f t="shared" si="6"/>
        <v>70</v>
      </c>
      <c r="R28" s="346"/>
      <c r="S28" s="346">
        <v>0</v>
      </c>
      <c r="T28" s="345">
        <f t="shared" si="9"/>
        <v>31</v>
      </c>
      <c r="U28"/>
      <c r="V28"/>
      <c r="W28"/>
      <c r="X28"/>
      <c r="Z28"/>
      <c r="AA28"/>
      <c r="AB28"/>
      <c r="AC28"/>
      <c r="AD28"/>
      <c r="AE28"/>
      <c r="AF28"/>
      <c r="AG28"/>
      <c r="AH28"/>
      <c r="AI28"/>
    </row>
    <row r="29" spans="1:35" s="176" customFormat="1" ht="15">
      <c r="A29" s="90">
        <v>25</v>
      </c>
      <c r="B29" s="340" t="s">
        <v>50</v>
      </c>
      <c r="C29" s="341">
        <v>117254.23929277014</v>
      </c>
      <c r="D29" s="342">
        <v>89796.453920665779</v>
      </c>
      <c r="E29" s="342">
        <v>11</v>
      </c>
      <c r="F29" s="342">
        <v>655</v>
      </c>
      <c r="G29" s="342"/>
      <c r="H29" s="344">
        <v>50.671967860000017</v>
      </c>
      <c r="I29" s="344">
        <v>49.335223889999995</v>
      </c>
      <c r="J29" s="345">
        <f t="shared" si="0"/>
        <v>14</v>
      </c>
      <c r="K29" s="345">
        <f t="shared" si="0"/>
        <v>17</v>
      </c>
      <c r="L29" s="345">
        <f t="shared" si="1"/>
        <v>17</v>
      </c>
      <c r="M29" s="346">
        <f t="shared" si="2"/>
        <v>7.2942746779141814</v>
      </c>
      <c r="N29" s="345">
        <f t="shared" si="3"/>
        <v>17</v>
      </c>
      <c r="O29" s="345">
        <f t="shared" si="4"/>
        <v>25</v>
      </c>
      <c r="P29" s="347">
        <f t="shared" si="5"/>
        <v>564.29809471951057</v>
      </c>
      <c r="Q29" s="345">
        <f t="shared" si="6"/>
        <v>29</v>
      </c>
      <c r="R29" s="346">
        <f t="shared" si="7"/>
        <v>2.709512321217971</v>
      </c>
      <c r="S29" s="346">
        <f t="shared" si="8"/>
        <v>1.3733087784441058</v>
      </c>
      <c r="T29" s="345">
        <f t="shared" si="9"/>
        <v>20</v>
      </c>
      <c r="U29"/>
      <c r="V29"/>
      <c r="W29"/>
      <c r="X29"/>
      <c r="Z29"/>
      <c r="AA29"/>
      <c r="AB29"/>
      <c r="AC29"/>
      <c r="AD29"/>
      <c r="AE29"/>
      <c r="AF29"/>
      <c r="AG29"/>
      <c r="AH29"/>
      <c r="AI29"/>
    </row>
    <row r="30" spans="1:35" s="176" customFormat="1" ht="15">
      <c r="A30" s="90">
        <v>26</v>
      </c>
      <c r="B30" s="340" t="s">
        <v>51</v>
      </c>
      <c r="C30" s="341">
        <v>167476.18599891663</v>
      </c>
      <c r="D30" s="342">
        <v>131153.73146400452</v>
      </c>
      <c r="E30" s="342">
        <v>15</v>
      </c>
      <c r="F30" s="342">
        <v>957</v>
      </c>
      <c r="G30" s="342">
        <v>3409.825691098777</v>
      </c>
      <c r="H30" s="344">
        <v>119.31187792999999</v>
      </c>
      <c r="I30" s="344">
        <v>121.42007278</v>
      </c>
      <c r="J30" s="345">
        <f t="shared" si="0"/>
        <v>4</v>
      </c>
      <c r="K30" s="345">
        <f t="shared" si="0"/>
        <v>2</v>
      </c>
      <c r="L30" s="345">
        <f t="shared" si="1"/>
        <v>2</v>
      </c>
      <c r="M30" s="346">
        <f t="shared" si="2"/>
        <v>7.2967805743495076</v>
      </c>
      <c r="N30" s="345">
        <f t="shared" si="3"/>
        <v>16</v>
      </c>
      <c r="O30" s="345">
        <f t="shared" si="4"/>
        <v>3</v>
      </c>
      <c r="P30" s="347">
        <f t="shared" si="5"/>
        <v>909.71012870301331</v>
      </c>
      <c r="Q30" s="345">
        <f t="shared" si="6"/>
        <v>1</v>
      </c>
      <c r="R30" s="346">
        <f t="shared" si="7"/>
        <v>-1.7362819851210469</v>
      </c>
      <c r="S30" s="346">
        <f t="shared" si="8"/>
        <v>-3.0146477875696021</v>
      </c>
      <c r="T30" s="345">
        <f t="shared" si="9"/>
        <v>64</v>
      </c>
      <c r="U30">
        <v>3409.825691098777</v>
      </c>
      <c r="V30"/>
      <c r="W30"/>
      <c r="X30"/>
      <c r="Z30"/>
      <c r="AA30"/>
      <c r="AB30"/>
      <c r="AC30"/>
      <c r="AD30"/>
      <c r="AE30"/>
      <c r="AF30"/>
      <c r="AG30"/>
      <c r="AH30"/>
      <c r="AI30"/>
    </row>
    <row r="31" spans="1:35" s="176" customFormat="1" ht="15">
      <c r="A31" s="90">
        <v>27</v>
      </c>
      <c r="B31" s="340" t="s">
        <v>52</v>
      </c>
      <c r="C31" s="341">
        <v>255391.59019034603</v>
      </c>
      <c r="D31" s="342">
        <v>199283.48702675151</v>
      </c>
      <c r="E31" s="342">
        <v>25</v>
      </c>
      <c r="F31" s="342">
        <v>1274</v>
      </c>
      <c r="G31" s="342"/>
      <c r="H31" s="344">
        <v>119.07009903999999</v>
      </c>
      <c r="I31" s="344">
        <v>117.52048961</v>
      </c>
      <c r="J31" s="345">
        <f t="shared" si="0"/>
        <v>1</v>
      </c>
      <c r="K31" s="345">
        <f t="shared" si="0"/>
        <v>1</v>
      </c>
      <c r="L31" s="345">
        <f t="shared" si="1"/>
        <v>1</v>
      </c>
      <c r="M31" s="346">
        <f t="shared" si="2"/>
        <v>6.3929029896439946</v>
      </c>
      <c r="N31" s="345">
        <f t="shared" si="3"/>
        <v>27</v>
      </c>
      <c r="O31" s="345">
        <f t="shared" si="4"/>
        <v>4</v>
      </c>
      <c r="P31" s="347">
        <f t="shared" si="5"/>
        <v>597.49104562796117</v>
      </c>
      <c r="Q31" s="345">
        <f t="shared" si="6"/>
        <v>24</v>
      </c>
      <c r="R31" s="346">
        <f t="shared" si="7"/>
        <v>1.3185866014875172</v>
      </c>
      <c r="S31" s="346">
        <f t="shared" si="8"/>
        <v>4.7836295993104218E-4</v>
      </c>
      <c r="T31" s="345">
        <f t="shared" si="9"/>
        <v>30</v>
      </c>
      <c r="U31"/>
      <c r="V31"/>
      <c r="W31"/>
      <c r="X31"/>
      <c r="Z31"/>
      <c r="AA31"/>
      <c r="AB31"/>
      <c r="AC31"/>
      <c r="AD31"/>
      <c r="AE31"/>
      <c r="AF31"/>
      <c r="AG31"/>
      <c r="AH31"/>
      <c r="AI31"/>
    </row>
    <row r="32" spans="1:35" s="176" customFormat="1" ht="15">
      <c r="A32" s="90">
        <v>28</v>
      </c>
      <c r="B32" s="340" t="s">
        <v>53</v>
      </c>
      <c r="C32" s="341">
        <v>66418.200758246385</v>
      </c>
      <c r="D32" s="342">
        <v>50540.836100333734</v>
      </c>
      <c r="E32" s="342">
        <v>8</v>
      </c>
      <c r="F32" s="342">
        <v>329</v>
      </c>
      <c r="G32" s="342"/>
      <c r="H32" s="344">
        <v>34.161100279999999</v>
      </c>
      <c r="I32" s="344">
        <v>33.343094199999996</v>
      </c>
      <c r="J32" s="345">
        <f t="shared" si="0"/>
        <v>28</v>
      </c>
      <c r="K32" s="345">
        <f t="shared" si="0"/>
        <v>31</v>
      </c>
      <c r="L32" s="345">
        <f t="shared" si="1"/>
        <v>31</v>
      </c>
      <c r="M32" s="346">
        <f t="shared" si="2"/>
        <v>6.509587600546789</v>
      </c>
      <c r="N32" s="345">
        <f t="shared" si="3"/>
        <v>24</v>
      </c>
      <c r="O32" s="345">
        <f t="shared" si="4"/>
        <v>28</v>
      </c>
      <c r="P32" s="347">
        <f t="shared" si="5"/>
        <v>675.91086566481283</v>
      </c>
      <c r="Q32" s="345">
        <f t="shared" si="6"/>
        <v>12</v>
      </c>
      <c r="R32" s="346">
        <f t="shared" si="7"/>
        <v>2.4532998500181296</v>
      </c>
      <c r="S32" s="346">
        <f t="shared" si="8"/>
        <v>1.1204295137212674</v>
      </c>
      <c r="T32" s="345">
        <f t="shared" si="9"/>
        <v>22</v>
      </c>
      <c r="U32"/>
      <c r="V32"/>
      <c r="W32"/>
      <c r="X32"/>
      <c r="Z32"/>
      <c r="AA32"/>
      <c r="AB32"/>
      <c r="AC32"/>
      <c r="AD32"/>
      <c r="AE32"/>
      <c r="AF32"/>
      <c r="AG32"/>
      <c r="AH32"/>
      <c r="AI32"/>
    </row>
    <row r="33" spans="1:35" s="176" customFormat="1" ht="15">
      <c r="A33" s="90">
        <v>29</v>
      </c>
      <c r="B33" s="340" t="s">
        <v>54</v>
      </c>
      <c r="C33" s="341">
        <v>15797.832905770218</v>
      </c>
      <c r="D33" s="342">
        <v>12914.482152402859</v>
      </c>
      <c r="E33" s="342">
        <v>2</v>
      </c>
      <c r="F33" s="342">
        <v>50</v>
      </c>
      <c r="G33" s="342"/>
      <c r="H33" s="344">
        <v>2.6569219500000001</v>
      </c>
      <c r="I33" s="344">
        <v>2.7721072699999993</v>
      </c>
      <c r="J33" s="345">
        <f t="shared" si="0"/>
        <v>56</v>
      </c>
      <c r="K33" s="345">
        <f t="shared" si="0"/>
        <v>63</v>
      </c>
      <c r="L33" s="345">
        <f t="shared" si="1"/>
        <v>63</v>
      </c>
      <c r="M33" s="346">
        <f t="shared" si="2"/>
        <v>3.8716225250036089</v>
      </c>
      <c r="N33" s="345">
        <f t="shared" si="3"/>
        <v>54</v>
      </c>
      <c r="O33" s="345">
        <f t="shared" si="4"/>
        <v>64</v>
      </c>
      <c r="P33" s="347">
        <f t="shared" si="5"/>
        <v>205.73197737593026</v>
      </c>
      <c r="Q33" s="345">
        <f t="shared" si="6"/>
        <v>59</v>
      </c>
      <c r="R33" s="346">
        <f t="shared" si="7"/>
        <v>-4.1551537794567119</v>
      </c>
      <c r="S33" s="346">
        <f t="shared" si="8"/>
        <v>-5.4020511717447857</v>
      </c>
      <c r="T33" s="345">
        <f t="shared" si="9"/>
        <v>73</v>
      </c>
      <c r="U33"/>
      <c r="V33"/>
      <c r="W33"/>
      <c r="X33"/>
      <c r="Z33"/>
      <c r="AA33"/>
      <c r="AB33"/>
      <c r="AC33"/>
      <c r="AD33"/>
      <c r="AE33"/>
      <c r="AF33"/>
      <c r="AG33"/>
      <c r="AH33"/>
      <c r="AI33"/>
    </row>
    <row r="34" spans="1:35" s="176" customFormat="1" ht="15">
      <c r="A34" s="90">
        <v>30</v>
      </c>
      <c r="B34" s="340" t="s">
        <v>55</v>
      </c>
      <c r="C34" s="341">
        <v>5631.3491670760459</v>
      </c>
      <c r="D34" s="342">
        <v>4581.8957450410126</v>
      </c>
      <c r="E34" s="342">
        <v>0</v>
      </c>
      <c r="F34" s="342">
        <v>0</v>
      </c>
      <c r="G34" s="342"/>
      <c r="H34" s="344">
        <v>0</v>
      </c>
      <c r="I34" s="344">
        <v>0</v>
      </c>
      <c r="J34" s="345">
        <f t="shared" si="0"/>
        <v>70</v>
      </c>
      <c r="K34" s="345">
        <f t="shared" si="0"/>
        <v>70</v>
      </c>
      <c r="L34" s="345">
        <f t="shared" si="1"/>
        <v>70</v>
      </c>
      <c r="M34" s="346">
        <f t="shared" si="2"/>
        <v>0</v>
      </c>
      <c r="N34" s="345">
        <f t="shared" si="3"/>
        <v>70</v>
      </c>
      <c r="O34" s="345">
        <f t="shared" si="4"/>
        <v>70</v>
      </c>
      <c r="P34" s="347">
        <f t="shared" si="5"/>
        <v>0</v>
      </c>
      <c r="Q34" s="345">
        <f t="shared" si="6"/>
        <v>70</v>
      </c>
      <c r="R34" s="346"/>
      <c r="S34" s="346">
        <v>0</v>
      </c>
      <c r="T34" s="345">
        <f t="shared" si="9"/>
        <v>31</v>
      </c>
      <c r="U34"/>
      <c r="V34"/>
      <c r="W34"/>
      <c r="X34"/>
      <c r="Z34"/>
      <c r="AA34"/>
      <c r="AB34"/>
      <c r="AC34"/>
      <c r="AD34"/>
      <c r="AE34"/>
      <c r="AF34"/>
      <c r="AG34"/>
      <c r="AH34"/>
      <c r="AI34"/>
    </row>
    <row r="35" spans="1:35" s="176" customFormat="1" ht="15">
      <c r="A35" s="90">
        <v>31</v>
      </c>
      <c r="B35" s="340" t="s">
        <v>56</v>
      </c>
      <c r="C35" s="341">
        <v>96661.566286258021</v>
      </c>
      <c r="D35" s="342">
        <v>75279.606134386093</v>
      </c>
      <c r="E35" s="342">
        <v>9</v>
      </c>
      <c r="F35" s="342">
        <v>535</v>
      </c>
      <c r="G35" s="342">
        <v>1423.0929118852275</v>
      </c>
      <c r="H35" s="344">
        <v>47.042973650000008</v>
      </c>
      <c r="I35" s="344">
        <v>47.437370429999994</v>
      </c>
      <c r="J35" s="345">
        <f t="shared" si="0"/>
        <v>23</v>
      </c>
      <c r="K35" s="345">
        <f t="shared" si="0"/>
        <v>21</v>
      </c>
      <c r="L35" s="345">
        <f t="shared" si="1"/>
        <v>21</v>
      </c>
      <c r="M35" s="346">
        <f t="shared" si="2"/>
        <v>7.106838458279654</v>
      </c>
      <c r="N35" s="345">
        <f t="shared" si="3"/>
        <v>19</v>
      </c>
      <c r="O35" s="345">
        <f t="shared" si="4"/>
        <v>26</v>
      </c>
      <c r="P35" s="347">
        <f t="shared" si="5"/>
        <v>624.90993332272228</v>
      </c>
      <c r="Q35" s="345">
        <f t="shared" si="6"/>
        <v>19</v>
      </c>
      <c r="R35" s="346">
        <f t="shared" si="7"/>
        <v>-0.83140523267825406</v>
      </c>
      <c r="S35" s="346">
        <f t="shared" si="8"/>
        <v>-2.1215430657310193</v>
      </c>
      <c r="T35" s="345">
        <f t="shared" si="9"/>
        <v>56</v>
      </c>
      <c r="U35" s="342">
        <v>1423.0929118852275</v>
      </c>
      <c r="V35"/>
      <c r="W35"/>
      <c r="X35"/>
      <c r="Z35"/>
      <c r="AA35"/>
      <c r="AB35"/>
      <c r="AC35"/>
      <c r="AD35"/>
      <c r="AE35"/>
      <c r="AF35"/>
      <c r="AG35"/>
      <c r="AH35"/>
      <c r="AI35"/>
    </row>
    <row r="36" spans="1:35" s="176" customFormat="1" ht="15">
      <c r="A36" s="90">
        <v>32</v>
      </c>
      <c r="B36" s="340" t="s">
        <v>57</v>
      </c>
      <c r="C36" s="341">
        <v>19938.717106152762</v>
      </c>
      <c r="D36" s="342">
        <v>15350.441685407452</v>
      </c>
      <c r="E36" s="342">
        <v>3</v>
      </c>
      <c r="F36" s="342">
        <v>152</v>
      </c>
      <c r="G36" s="342"/>
      <c r="H36" s="344">
        <v>9.9234761099999993</v>
      </c>
      <c r="I36" s="344">
        <v>9.5117761600000001</v>
      </c>
      <c r="J36" s="345">
        <f t="shared" si="0"/>
        <v>49</v>
      </c>
      <c r="K36" s="345">
        <f t="shared" si="0"/>
        <v>46</v>
      </c>
      <c r="L36" s="345">
        <f t="shared" si="1"/>
        <v>46</v>
      </c>
      <c r="M36" s="346">
        <f t="shared" si="2"/>
        <v>9.901995207375391</v>
      </c>
      <c r="N36" s="345">
        <f t="shared" si="3"/>
        <v>2</v>
      </c>
      <c r="O36" s="345">
        <f t="shared" si="4"/>
        <v>43</v>
      </c>
      <c r="P36" s="347">
        <f t="shared" si="5"/>
        <v>646.46192685344852</v>
      </c>
      <c r="Q36" s="345">
        <f t="shared" si="6"/>
        <v>17</v>
      </c>
      <c r="R36" s="346">
        <f t="shared" si="7"/>
        <v>4.3283183190467245</v>
      </c>
      <c r="S36" s="346">
        <f t="shared" si="8"/>
        <v>2.9710548543583473</v>
      </c>
      <c r="T36" s="345">
        <f t="shared" si="9"/>
        <v>11</v>
      </c>
      <c r="U36"/>
      <c r="V36"/>
      <c r="W36"/>
      <c r="X36"/>
      <c r="Z36"/>
      <c r="AA36"/>
      <c r="AB36"/>
      <c r="AC36"/>
      <c r="AD36"/>
      <c r="AE36"/>
      <c r="AF36"/>
      <c r="AG36"/>
      <c r="AH36"/>
      <c r="AI36"/>
    </row>
    <row r="37" spans="1:35" s="176" customFormat="1" ht="15">
      <c r="A37" s="90">
        <v>33</v>
      </c>
      <c r="B37" s="340" t="s">
        <v>58</v>
      </c>
      <c r="C37" s="341">
        <v>228781.51616684388</v>
      </c>
      <c r="D37" s="342">
        <v>168273.26246195962</v>
      </c>
      <c r="E37" s="342">
        <v>14</v>
      </c>
      <c r="F37" s="342">
        <v>833</v>
      </c>
      <c r="G37" s="342">
        <v>2701.8915745973532</v>
      </c>
      <c r="H37" s="344">
        <v>111.69589407999999</v>
      </c>
      <c r="I37" s="344">
        <v>109.62380477000001</v>
      </c>
      <c r="J37" s="345">
        <f t="shared" si="0"/>
        <v>8</v>
      </c>
      <c r="K37" s="345">
        <f t="shared" si="0"/>
        <v>8</v>
      </c>
      <c r="L37" s="345">
        <f t="shared" si="1"/>
        <v>8</v>
      </c>
      <c r="M37" s="346">
        <f t="shared" si="2"/>
        <v>4.950281392376942</v>
      </c>
      <c r="N37" s="345">
        <f t="shared" si="3"/>
        <v>41</v>
      </c>
      <c r="O37" s="345">
        <f t="shared" si="4"/>
        <v>5</v>
      </c>
      <c r="P37" s="347">
        <f t="shared" si="5"/>
        <v>663.77683801816295</v>
      </c>
      <c r="Q37" s="345">
        <f t="shared" si="6"/>
        <v>13</v>
      </c>
      <c r="R37" s="346">
        <f t="shared" si="7"/>
        <v>1.8901818946600142</v>
      </c>
      <c r="S37" s="346">
        <f t="shared" si="8"/>
        <v>0.5646374641136912</v>
      </c>
      <c r="T37" s="345">
        <f t="shared" ref="T37:T68" si="10">RANK($S37,$S$5:$S$83)</f>
        <v>24</v>
      </c>
      <c r="U37" s="342">
        <v>2701.8915745973532</v>
      </c>
      <c r="V37"/>
      <c r="W37"/>
      <c r="X37"/>
      <c r="Z37"/>
      <c r="AA37"/>
      <c r="AB37"/>
      <c r="AC37"/>
      <c r="AD37"/>
      <c r="AE37"/>
      <c r="AF37"/>
      <c r="AG37"/>
      <c r="AH37"/>
      <c r="AI37"/>
    </row>
    <row r="38" spans="1:35" s="176" customFormat="1" ht="15">
      <c r="A38" s="90">
        <v>34</v>
      </c>
      <c r="B38" s="340" t="s">
        <v>59</v>
      </c>
      <c r="C38" s="341">
        <v>16524.672643537484</v>
      </c>
      <c r="D38" s="342">
        <v>12995.909656518055</v>
      </c>
      <c r="E38" s="342">
        <v>0</v>
      </c>
      <c r="F38" s="342">
        <v>0</v>
      </c>
      <c r="G38" s="342"/>
      <c r="H38" s="344">
        <v>0</v>
      </c>
      <c r="I38" s="344">
        <v>0</v>
      </c>
      <c r="J38" s="345">
        <f t="shared" si="0"/>
        <v>70</v>
      </c>
      <c r="K38" s="345">
        <f t="shared" si="0"/>
        <v>70</v>
      </c>
      <c r="L38" s="345">
        <f t="shared" si="1"/>
        <v>70</v>
      </c>
      <c r="M38" s="346">
        <f t="shared" si="2"/>
        <v>0</v>
      </c>
      <c r="N38" s="345">
        <f t="shared" si="3"/>
        <v>70</v>
      </c>
      <c r="O38" s="345">
        <f t="shared" si="4"/>
        <v>70</v>
      </c>
      <c r="P38" s="347">
        <f t="shared" si="5"/>
        <v>0</v>
      </c>
      <c r="Q38" s="345">
        <f t="shared" si="6"/>
        <v>70</v>
      </c>
      <c r="R38" s="346"/>
      <c r="S38" s="346">
        <v>0</v>
      </c>
      <c r="T38" s="345">
        <f t="shared" si="10"/>
        <v>31</v>
      </c>
      <c r="U38"/>
      <c r="V38"/>
      <c r="W38"/>
      <c r="X38"/>
      <c r="Z38"/>
      <c r="AA38"/>
      <c r="AB38"/>
      <c r="AC38"/>
      <c r="AD38"/>
      <c r="AE38"/>
      <c r="AF38"/>
      <c r="AG38"/>
      <c r="AH38"/>
      <c r="AI38"/>
    </row>
    <row r="39" spans="1:35" s="176" customFormat="1" ht="15">
      <c r="A39" s="90">
        <v>35</v>
      </c>
      <c r="B39" s="340" t="s">
        <v>60</v>
      </c>
      <c r="C39" s="341">
        <v>163905.2003300041</v>
      </c>
      <c r="D39" s="342">
        <v>129232.02717538775</v>
      </c>
      <c r="E39" s="342">
        <v>16</v>
      </c>
      <c r="F39" s="342">
        <v>902</v>
      </c>
      <c r="G39" s="342">
        <v>2590.2243410410424</v>
      </c>
      <c r="H39" s="344">
        <v>85.701350430000005</v>
      </c>
      <c r="I39" s="344">
        <v>86.280868830000003</v>
      </c>
      <c r="J39" s="345">
        <f t="shared" si="0"/>
        <v>3</v>
      </c>
      <c r="K39" s="345">
        <f t="shared" si="0"/>
        <v>7</v>
      </c>
      <c r="L39" s="345">
        <f t="shared" si="1"/>
        <v>7</v>
      </c>
      <c r="M39" s="346">
        <f t="shared" si="2"/>
        <v>6.9796939637559596</v>
      </c>
      <c r="N39" s="345">
        <f t="shared" si="3"/>
        <v>21</v>
      </c>
      <c r="O39" s="345">
        <f t="shared" si="4"/>
        <v>9</v>
      </c>
      <c r="P39" s="347">
        <f t="shared" si="5"/>
        <v>663.15875641020534</v>
      </c>
      <c r="Q39" s="345">
        <f t="shared" si="6"/>
        <v>15</v>
      </c>
      <c r="R39" s="346">
        <f t="shared" si="7"/>
        <v>-0.67166500275029484</v>
      </c>
      <c r="S39" s="346">
        <f t="shared" si="8"/>
        <v>-1.9638809827665547</v>
      </c>
      <c r="T39" s="345">
        <f t="shared" si="10"/>
        <v>53</v>
      </c>
      <c r="U39" s="342">
        <v>2590.2243410410424</v>
      </c>
      <c r="V39"/>
      <c r="W39"/>
      <c r="X39"/>
      <c r="Z39"/>
      <c r="AA39"/>
      <c r="AB39"/>
      <c r="AC39"/>
      <c r="AD39"/>
      <c r="AE39"/>
      <c r="AF39"/>
      <c r="AG39"/>
      <c r="AH39"/>
      <c r="AI39"/>
    </row>
    <row r="40" spans="1:35" s="176" customFormat="1" ht="15">
      <c r="A40" s="90">
        <v>36</v>
      </c>
      <c r="B40" s="340" t="s">
        <v>61</v>
      </c>
      <c r="C40" s="341">
        <v>163420.37839648093</v>
      </c>
      <c r="D40" s="342">
        <v>128351.61359141828</v>
      </c>
      <c r="E40" s="342">
        <v>11</v>
      </c>
      <c r="F40" s="342">
        <v>767</v>
      </c>
      <c r="G40" s="342">
        <v>2666.6646941014151</v>
      </c>
      <c r="H40" s="344">
        <v>73.890071239999997</v>
      </c>
      <c r="I40" s="344">
        <v>75.860234519999992</v>
      </c>
      <c r="J40" s="345">
        <f t="shared" si="0"/>
        <v>14</v>
      </c>
      <c r="K40" s="345">
        <f t="shared" si="0"/>
        <v>11</v>
      </c>
      <c r="L40" s="345">
        <f t="shared" si="1"/>
        <v>11</v>
      </c>
      <c r="M40" s="346">
        <f t="shared" si="2"/>
        <v>5.9757721663055312</v>
      </c>
      <c r="N40" s="345">
        <f t="shared" si="3"/>
        <v>31</v>
      </c>
      <c r="O40" s="345">
        <f t="shared" si="4"/>
        <v>15</v>
      </c>
      <c r="P40" s="347">
        <f t="shared" si="5"/>
        <v>575.68478628725529</v>
      </c>
      <c r="Q40" s="345">
        <f t="shared" si="6"/>
        <v>26</v>
      </c>
      <c r="R40" s="346">
        <f t="shared" si="7"/>
        <v>-2.5970962157789996</v>
      </c>
      <c r="S40" s="346">
        <f t="shared" si="8"/>
        <v>-3.8642632207775409</v>
      </c>
      <c r="T40" s="345">
        <f t="shared" si="10"/>
        <v>66</v>
      </c>
      <c r="U40" s="342">
        <v>2666.6646941014151</v>
      </c>
      <c r="V40"/>
      <c r="W40"/>
      <c r="X40"/>
      <c r="Z40"/>
      <c r="AA40"/>
      <c r="AB40"/>
      <c r="AC40"/>
      <c r="AD40"/>
      <c r="AE40"/>
      <c r="AF40"/>
      <c r="AG40"/>
      <c r="AH40"/>
      <c r="AI40"/>
    </row>
    <row r="41" spans="1:35" s="176" customFormat="1" ht="15">
      <c r="A41" s="90">
        <v>37</v>
      </c>
      <c r="B41" s="340" t="s">
        <v>62</v>
      </c>
      <c r="C41" s="341">
        <v>75529.026148363773</v>
      </c>
      <c r="D41" s="342">
        <v>59138.566532114361</v>
      </c>
      <c r="E41" s="342">
        <v>13</v>
      </c>
      <c r="F41" s="342">
        <v>522</v>
      </c>
      <c r="G41" s="342"/>
      <c r="H41" s="344">
        <v>46.054599849999995</v>
      </c>
      <c r="I41" s="344">
        <v>44.669216679999998</v>
      </c>
      <c r="J41" s="345">
        <f t="shared" si="0"/>
        <v>9</v>
      </c>
      <c r="K41" s="345">
        <f t="shared" si="0"/>
        <v>22</v>
      </c>
      <c r="L41" s="345">
        <f t="shared" si="1"/>
        <v>22</v>
      </c>
      <c r="M41" s="346">
        <f t="shared" si="2"/>
        <v>8.8267273052101345</v>
      </c>
      <c r="N41" s="345">
        <f t="shared" si="3"/>
        <v>8</v>
      </c>
      <c r="O41" s="345">
        <f t="shared" si="4"/>
        <v>27</v>
      </c>
      <c r="P41" s="347">
        <f t="shared" si="5"/>
        <v>778.75745982092235</v>
      </c>
      <c r="Q41" s="345">
        <f t="shared" si="6"/>
        <v>3</v>
      </c>
      <c r="R41" s="346">
        <f t="shared" si="7"/>
        <v>3.1014270519327973</v>
      </c>
      <c r="S41" s="346">
        <f t="shared" si="8"/>
        <v>1.7601248786639454</v>
      </c>
      <c r="T41" s="345">
        <f t="shared" si="10"/>
        <v>17</v>
      </c>
      <c r="U41"/>
      <c r="V41"/>
      <c r="W41"/>
      <c r="X41"/>
      <c r="Z41"/>
      <c r="AA41"/>
      <c r="AB41"/>
      <c r="AC41"/>
      <c r="AD41"/>
      <c r="AE41"/>
      <c r="AF41"/>
      <c r="AG41"/>
      <c r="AH41"/>
      <c r="AI41"/>
    </row>
    <row r="42" spans="1:35" s="176" customFormat="1" ht="15">
      <c r="A42" s="90">
        <v>38</v>
      </c>
      <c r="B42" s="340" t="s">
        <v>63</v>
      </c>
      <c r="C42" s="341">
        <v>7534.0747037718338</v>
      </c>
      <c r="D42" s="342">
        <v>6108.8457297761479</v>
      </c>
      <c r="E42" s="342">
        <v>0</v>
      </c>
      <c r="F42" s="342">
        <v>0</v>
      </c>
      <c r="G42" s="342"/>
      <c r="H42" s="344">
        <v>0</v>
      </c>
      <c r="I42" s="344">
        <v>0</v>
      </c>
      <c r="J42" s="345">
        <f t="shared" si="0"/>
        <v>70</v>
      </c>
      <c r="K42" s="345">
        <f t="shared" si="0"/>
        <v>70</v>
      </c>
      <c r="L42" s="345">
        <f t="shared" si="1"/>
        <v>70</v>
      </c>
      <c r="M42" s="346">
        <f t="shared" si="2"/>
        <v>0</v>
      </c>
      <c r="N42" s="345">
        <f t="shared" si="3"/>
        <v>70</v>
      </c>
      <c r="O42" s="345">
        <f t="shared" si="4"/>
        <v>70</v>
      </c>
      <c r="P42" s="347">
        <f t="shared" si="5"/>
        <v>0</v>
      </c>
      <c r="Q42" s="345">
        <f t="shared" si="6"/>
        <v>70</v>
      </c>
      <c r="R42" s="346"/>
      <c r="S42" s="346">
        <v>0</v>
      </c>
      <c r="T42" s="345">
        <f t="shared" si="10"/>
        <v>31</v>
      </c>
      <c r="U42"/>
      <c r="V42"/>
      <c r="W42"/>
      <c r="X42"/>
      <c r="Z42"/>
      <c r="AA42"/>
      <c r="AB42"/>
      <c r="AC42"/>
      <c r="AD42"/>
      <c r="AE42"/>
      <c r="AF42"/>
      <c r="AG42"/>
      <c r="AH42"/>
      <c r="AI42"/>
    </row>
    <row r="43" spans="1:35" s="176" customFormat="1" ht="15">
      <c r="A43" s="90">
        <v>39</v>
      </c>
      <c r="B43" s="340" t="s">
        <v>64</v>
      </c>
      <c r="C43" s="341">
        <v>49665.349954797653</v>
      </c>
      <c r="D43" s="342">
        <v>37628.755998350462</v>
      </c>
      <c r="E43" s="342">
        <v>3</v>
      </c>
      <c r="F43" s="342">
        <v>103</v>
      </c>
      <c r="G43" s="342"/>
      <c r="H43" s="344">
        <v>9.5941897900000015</v>
      </c>
      <c r="I43" s="344">
        <v>9.557852539999999</v>
      </c>
      <c r="J43" s="345">
        <f t="shared" si="0"/>
        <v>49</v>
      </c>
      <c r="K43" s="345">
        <f t="shared" si="0"/>
        <v>54</v>
      </c>
      <c r="L43" s="345">
        <f t="shared" si="1"/>
        <v>54</v>
      </c>
      <c r="M43" s="346">
        <f t="shared" si="2"/>
        <v>2.7372682744153232</v>
      </c>
      <c r="N43" s="345">
        <f t="shared" si="3"/>
        <v>62</v>
      </c>
      <c r="O43" s="345">
        <f t="shared" si="4"/>
        <v>46</v>
      </c>
      <c r="P43" s="347">
        <f t="shared" si="5"/>
        <v>254.96962457171273</v>
      </c>
      <c r="Q43" s="345">
        <f t="shared" si="6"/>
        <v>53</v>
      </c>
      <c r="R43" s="346">
        <f t="shared" si="7"/>
        <v>0.38018215752889767</v>
      </c>
      <c r="S43" s="346">
        <f t="shared" si="8"/>
        <v>-0.92571787053955701</v>
      </c>
      <c r="T43" s="345">
        <f t="shared" si="10"/>
        <v>47</v>
      </c>
      <c r="U43"/>
      <c r="V43"/>
      <c r="W43"/>
      <c r="X43"/>
      <c r="Z43"/>
      <c r="AA43"/>
      <c r="AB43"/>
      <c r="AC43"/>
      <c r="AD43"/>
      <c r="AE43"/>
      <c r="AF43"/>
      <c r="AG43"/>
      <c r="AH43"/>
      <c r="AI43"/>
    </row>
    <row r="44" spans="1:35" s="176" customFormat="1" ht="15">
      <c r="A44" s="90">
        <v>40</v>
      </c>
      <c r="B44" s="340" t="s">
        <v>65</v>
      </c>
      <c r="C44" s="341">
        <v>126477.26449402444</v>
      </c>
      <c r="D44" s="342">
        <v>101419.69279390064</v>
      </c>
      <c r="E44" s="342">
        <v>7</v>
      </c>
      <c r="F44" s="342">
        <v>522</v>
      </c>
      <c r="G44" s="342">
        <v>1853.2154220090285</v>
      </c>
      <c r="H44" s="344">
        <v>56.358630189999992</v>
      </c>
      <c r="I44" s="344">
        <v>58.387460550000007</v>
      </c>
      <c r="J44" s="345">
        <f t="shared" si="0"/>
        <v>32</v>
      </c>
      <c r="K44" s="345">
        <f t="shared" si="0"/>
        <v>22</v>
      </c>
      <c r="L44" s="345">
        <f t="shared" si="1"/>
        <v>22</v>
      </c>
      <c r="M44" s="346">
        <f t="shared" si="2"/>
        <v>5.1469294140022575</v>
      </c>
      <c r="N44" s="345">
        <f t="shared" si="3"/>
        <v>40</v>
      </c>
      <c r="O44" s="345">
        <f t="shared" si="4"/>
        <v>23</v>
      </c>
      <c r="P44" s="347">
        <f t="shared" si="5"/>
        <v>555.69711007238811</v>
      </c>
      <c r="Q44" s="345">
        <f t="shared" si="6"/>
        <v>31</v>
      </c>
      <c r="R44" s="346">
        <f t="shared" si="7"/>
        <v>-3.4747706800206344</v>
      </c>
      <c r="S44" s="346">
        <f t="shared" si="8"/>
        <v>-4.7305195436803906</v>
      </c>
      <c r="T44" s="345">
        <f t="shared" si="10"/>
        <v>69</v>
      </c>
      <c r="U44" s="342">
        <v>1853.2154220090285</v>
      </c>
      <c r="V44"/>
      <c r="W44"/>
      <c r="X44"/>
      <c r="Z44"/>
      <c r="AA44"/>
      <c r="AB44"/>
      <c r="AC44"/>
      <c r="AD44"/>
      <c r="AE44"/>
      <c r="AF44"/>
      <c r="AG44"/>
      <c r="AH44"/>
      <c r="AI44"/>
    </row>
    <row r="45" spans="1:35" s="176" customFormat="1" ht="15">
      <c r="A45" s="90">
        <v>41</v>
      </c>
      <c r="B45" s="340" t="s">
        <v>66</v>
      </c>
      <c r="C45" s="341">
        <v>9026.558787452479</v>
      </c>
      <c r="D45" s="342">
        <v>7077.2967967363857</v>
      </c>
      <c r="E45" s="342">
        <v>1</v>
      </c>
      <c r="F45" s="342">
        <v>40</v>
      </c>
      <c r="G45" s="342"/>
      <c r="H45" s="344">
        <v>1.5336041599999999</v>
      </c>
      <c r="I45" s="344">
        <v>1.61179169</v>
      </c>
      <c r="J45" s="345">
        <f t="shared" si="0"/>
        <v>64</v>
      </c>
      <c r="K45" s="345">
        <f t="shared" si="0"/>
        <v>65</v>
      </c>
      <c r="L45" s="345">
        <f t="shared" si="1"/>
        <v>65</v>
      </c>
      <c r="M45" s="346">
        <f t="shared" si="2"/>
        <v>5.6518754474795436</v>
      </c>
      <c r="N45" s="345">
        <f t="shared" si="3"/>
        <v>38</v>
      </c>
      <c r="O45" s="345">
        <f t="shared" si="4"/>
        <v>66</v>
      </c>
      <c r="P45" s="347">
        <f t="shared" si="5"/>
        <v>216.69349245141223</v>
      </c>
      <c r="Q45" s="345">
        <f t="shared" si="6"/>
        <v>58</v>
      </c>
      <c r="R45" s="346">
        <f t="shared" si="7"/>
        <v>-4.8509699165901594</v>
      </c>
      <c r="S45" s="346">
        <f t="shared" si="8"/>
        <v>-6.0888150607802149</v>
      </c>
      <c r="T45" s="345">
        <f t="shared" si="10"/>
        <v>75</v>
      </c>
      <c r="U45"/>
      <c r="V45"/>
      <c r="W45"/>
      <c r="X45"/>
      <c r="Z45"/>
      <c r="AA45"/>
      <c r="AB45"/>
      <c r="AC45"/>
      <c r="AD45"/>
      <c r="AE45"/>
      <c r="AF45"/>
      <c r="AG45"/>
      <c r="AH45"/>
      <c r="AI45"/>
    </row>
    <row r="46" spans="1:35" s="176" customFormat="1" ht="15">
      <c r="A46" s="90">
        <v>42</v>
      </c>
      <c r="B46" s="340" t="s">
        <v>67</v>
      </c>
      <c r="C46" s="341">
        <v>93332.633274078369</v>
      </c>
      <c r="D46" s="342">
        <v>76072.910172271717</v>
      </c>
      <c r="E46" s="342">
        <v>9</v>
      </c>
      <c r="F46" s="342">
        <v>471</v>
      </c>
      <c r="G46" s="342">
        <v>1862.5692113275002</v>
      </c>
      <c r="H46" s="344">
        <v>57.257924750000001</v>
      </c>
      <c r="I46" s="344">
        <v>54.924962829999998</v>
      </c>
      <c r="J46" s="345">
        <f t="shared" si="0"/>
        <v>23</v>
      </c>
      <c r="K46" s="345">
        <f t="shared" si="0"/>
        <v>26</v>
      </c>
      <c r="L46" s="345">
        <f t="shared" si="1"/>
        <v>26</v>
      </c>
      <c r="M46" s="346">
        <f t="shared" si="2"/>
        <v>6.1914287087662609</v>
      </c>
      <c r="N46" s="345">
        <f t="shared" si="3"/>
        <v>30</v>
      </c>
      <c r="O46" s="345">
        <f t="shared" si="4"/>
        <v>22</v>
      </c>
      <c r="P46" s="347">
        <f t="shared" si="5"/>
        <v>752.67167537479452</v>
      </c>
      <c r="Q46" s="345">
        <f t="shared" si="6"/>
        <v>5</v>
      </c>
      <c r="R46" s="346">
        <f t="shared" si="7"/>
        <v>4.2475439213692816</v>
      </c>
      <c r="S46" s="346">
        <f t="shared" si="8"/>
        <v>2.8913312944650853</v>
      </c>
      <c r="T46" s="345">
        <f t="shared" si="10"/>
        <v>12</v>
      </c>
      <c r="U46" s="342">
        <v>1862.5692113275002</v>
      </c>
      <c r="V46"/>
      <c r="W46"/>
      <c r="X46"/>
      <c r="Z46"/>
      <c r="AA46"/>
      <c r="AB46"/>
      <c r="AC46"/>
      <c r="AD46"/>
      <c r="AE46"/>
      <c r="AF46"/>
      <c r="AG46"/>
      <c r="AH46"/>
      <c r="AI46"/>
    </row>
    <row r="47" spans="1:35" s="176" customFormat="1" ht="15">
      <c r="A47" s="90">
        <v>43</v>
      </c>
      <c r="B47" s="340" t="s">
        <v>68</v>
      </c>
      <c r="C47" s="341">
        <v>118377.21778978198</v>
      </c>
      <c r="D47" s="342">
        <v>91693.017398029857</v>
      </c>
      <c r="E47" s="342">
        <v>10</v>
      </c>
      <c r="F47" s="342">
        <v>759</v>
      </c>
      <c r="G47" s="342">
        <v>1903.7249132581019</v>
      </c>
      <c r="H47" s="344">
        <v>62.861488650000005</v>
      </c>
      <c r="I47" s="344">
        <v>65.326363450000002</v>
      </c>
      <c r="J47" s="345">
        <f t="shared" si="0"/>
        <v>18</v>
      </c>
      <c r="K47" s="345">
        <f t="shared" si="0"/>
        <v>12</v>
      </c>
      <c r="L47" s="345">
        <f t="shared" si="1"/>
        <v>12</v>
      </c>
      <c r="M47" s="346">
        <f t="shared" si="2"/>
        <v>8.2776204943203027</v>
      </c>
      <c r="N47" s="345">
        <f t="shared" si="3"/>
        <v>12</v>
      </c>
      <c r="O47" s="345">
        <f t="shared" si="4"/>
        <v>18</v>
      </c>
      <c r="P47" s="347">
        <f t="shared" si="5"/>
        <v>685.56462022756671</v>
      </c>
      <c r="Q47" s="345">
        <f t="shared" si="6"/>
        <v>11</v>
      </c>
      <c r="R47" s="346">
        <f t="shared" si="7"/>
        <v>-3.7731700799273509</v>
      </c>
      <c r="S47" s="346">
        <f t="shared" si="8"/>
        <v>-5.0250369045596797</v>
      </c>
      <c r="T47" s="345">
        <f t="shared" si="10"/>
        <v>71</v>
      </c>
      <c r="U47" s="342">
        <v>1903.7249132581019</v>
      </c>
      <c r="V47"/>
      <c r="W47"/>
      <c r="X47"/>
      <c r="Z47"/>
      <c r="AA47"/>
      <c r="AB47"/>
      <c r="AC47"/>
      <c r="AD47"/>
      <c r="AE47"/>
      <c r="AF47"/>
      <c r="AG47"/>
      <c r="AH47"/>
      <c r="AI47"/>
    </row>
    <row r="48" spans="1:35" s="176" customFormat="1" ht="15">
      <c r="A48" s="90">
        <v>44</v>
      </c>
      <c r="B48" s="340" t="s">
        <v>69</v>
      </c>
      <c r="C48" s="341">
        <v>174758.73692900123</v>
      </c>
      <c r="D48" s="342">
        <v>154563.51445509252</v>
      </c>
      <c r="E48" s="342">
        <v>10</v>
      </c>
      <c r="F48" s="342">
        <v>702</v>
      </c>
      <c r="G48" s="342">
        <v>2447.9704423945273</v>
      </c>
      <c r="H48" s="344">
        <v>84.505931590000003</v>
      </c>
      <c r="I48" s="344">
        <v>83.99270039999999</v>
      </c>
      <c r="J48" s="345">
        <f t="shared" si="0"/>
        <v>18</v>
      </c>
      <c r="K48" s="345">
        <f t="shared" si="0"/>
        <v>15</v>
      </c>
      <c r="L48" s="345">
        <f t="shared" si="1"/>
        <v>15</v>
      </c>
      <c r="M48" s="346">
        <f t="shared" si="2"/>
        <v>4.5418221918340356</v>
      </c>
      <c r="N48" s="345">
        <f t="shared" si="3"/>
        <v>45</v>
      </c>
      <c r="O48" s="345">
        <f t="shared" si="4"/>
        <v>10</v>
      </c>
      <c r="P48" s="347">
        <f t="shared" si="5"/>
        <v>546.73919577930337</v>
      </c>
      <c r="Q48" s="345">
        <f t="shared" si="6"/>
        <v>33</v>
      </c>
      <c r="R48" s="346">
        <f t="shared" si="7"/>
        <v>0.61104261150771777</v>
      </c>
      <c r="S48" s="346">
        <f t="shared" si="8"/>
        <v>-0.69786080494729863</v>
      </c>
      <c r="T48" s="345">
        <f t="shared" si="10"/>
        <v>45</v>
      </c>
      <c r="U48" s="342">
        <v>2447.9704423945273</v>
      </c>
      <c r="V48"/>
      <c r="W48"/>
      <c r="X48"/>
      <c r="Z48"/>
      <c r="AA48"/>
      <c r="AB48"/>
      <c r="AC48"/>
      <c r="AD48"/>
      <c r="AE48"/>
      <c r="AF48"/>
      <c r="AG48"/>
      <c r="AH48"/>
      <c r="AI48"/>
    </row>
    <row r="49" spans="1:35" s="176" customFormat="1" ht="15">
      <c r="A49" s="90">
        <v>45</v>
      </c>
      <c r="B49" s="340" t="s">
        <v>70</v>
      </c>
      <c r="C49" s="341">
        <v>160454.56601256836</v>
      </c>
      <c r="D49" s="342">
        <v>114882.06559698354</v>
      </c>
      <c r="E49" s="342">
        <v>7</v>
      </c>
      <c r="F49" s="342">
        <v>515</v>
      </c>
      <c r="G49" s="342">
        <v>1150.4788972451554</v>
      </c>
      <c r="H49" s="344">
        <v>67.781774819999995</v>
      </c>
      <c r="I49" s="344">
        <v>66.052977769999998</v>
      </c>
      <c r="J49" s="345">
        <f t="shared" si="0"/>
        <v>32</v>
      </c>
      <c r="K49" s="345">
        <f t="shared" si="0"/>
        <v>25</v>
      </c>
      <c r="L49" s="345">
        <f t="shared" si="1"/>
        <v>25</v>
      </c>
      <c r="M49" s="346">
        <f t="shared" si="2"/>
        <v>4.4828581147440856</v>
      </c>
      <c r="N49" s="345">
        <f t="shared" si="3"/>
        <v>47</v>
      </c>
      <c r="O49" s="345">
        <f t="shared" si="4"/>
        <v>16</v>
      </c>
      <c r="P49" s="347">
        <f t="shared" si="5"/>
        <v>590.01180443416172</v>
      </c>
      <c r="Q49" s="345">
        <f t="shared" si="6"/>
        <v>25</v>
      </c>
      <c r="R49" s="346">
        <f t="shared" si="7"/>
        <v>2.6172885891984476</v>
      </c>
      <c r="S49" s="346">
        <f t="shared" si="8"/>
        <v>1.2822848347856353</v>
      </c>
      <c r="T49" s="345">
        <f t="shared" si="10"/>
        <v>21</v>
      </c>
      <c r="U49" s="342">
        <v>1150.4788972451554</v>
      </c>
      <c r="V49"/>
      <c r="W49"/>
      <c r="X49"/>
      <c r="Z49"/>
      <c r="AA49"/>
      <c r="AB49"/>
      <c r="AC49"/>
      <c r="AD49"/>
      <c r="AE49"/>
      <c r="AF49"/>
      <c r="AG49"/>
      <c r="AH49"/>
      <c r="AI49"/>
    </row>
    <row r="50" spans="1:35" s="176" customFormat="1" ht="15">
      <c r="A50" s="90">
        <v>46</v>
      </c>
      <c r="B50" s="340" t="s">
        <v>71</v>
      </c>
      <c r="C50" s="341">
        <v>55669.006585121155</v>
      </c>
      <c r="D50" s="342">
        <v>42862.470573616025</v>
      </c>
      <c r="E50" s="342">
        <v>8</v>
      </c>
      <c r="F50" s="342">
        <v>280</v>
      </c>
      <c r="G50" s="342"/>
      <c r="H50" s="344">
        <v>29.990565099999998</v>
      </c>
      <c r="I50" s="344">
        <v>28.052968579999998</v>
      </c>
      <c r="J50" s="345">
        <f t="shared" si="0"/>
        <v>28</v>
      </c>
      <c r="K50" s="345">
        <f t="shared" si="0"/>
        <v>35</v>
      </c>
      <c r="L50" s="345">
        <f t="shared" si="1"/>
        <v>35</v>
      </c>
      <c r="M50" s="346">
        <f t="shared" si="2"/>
        <v>6.5325212535078148</v>
      </c>
      <c r="N50" s="345">
        <f t="shared" si="3"/>
        <v>23</v>
      </c>
      <c r="O50" s="345">
        <f t="shared" si="4"/>
        <v>30</v>
      </c>
      <c r="P50" s="347">
        <f t="shared" si="5"/>
        <v>699.69287114449901</v>
      </c>
      <c r="Q50" s="345">
        <f t="shared" si="6"/>
        <v>7</v>
      </c>
      <c r="R50" s="346">
        <f t="shared" si="7"/>
        <v>6.9069215062729024</v>
      </c>
      <c r="S50" s="346">
        <f t="shared" si="8"/>
        <v>5.5161115994263419</v>
      </c>
      <c r="T50" s="345">
        <f t="shared" si="10"/>
        <v>7</v>
      </c>
      <c r="U50"/>
      <c r="V50"/>
      <c r="W50"/>
      <c r="X50"/>
      <c r="Z50"/>
      <c r="AA50"/>
      <c r="AB50"/>
      <c r="AC50"/>
      <c r="AD50"/>
      <c r="AE50"/>
      <c r="AF50"/>
      <c r="AG50"/>
      <c r="AH50"/>
      <c r="AI50"/>
    </row>
    <row r="51" spans="1:35" s="176" customFormat="1" ht="15">
      <c r="A51" s="90">
        <v>47</v>
      </c>
      <c r="B51" s="340" t="s">
        <v>72</v>
      </c>
      <c r="C51" s="341">
        <v>45933.013204484174</v>
      </c>
      <c r="D51" s="342">
        <v>34312.603113983598</v>
      </c>
      <c r="E51" s="342">
        <v>5</v>
      </c>
      <c r="F51" s="342">
        <v>204</v>
      </c>
      <c r="G51" s="342"/>
      <c r="H51" s="344">
        <v>18.943555480000001</v>
      </c>
      <c r="I51" s="344">
        <v>18.771634930000001</v>
      </c>
      <c r="J51" s="345">
        <f t="shared" si="0"/>
        <v>37</v>
      </c>
      <c r="K51" s="345">
        <f t="shared" si="0"/>
        <v>42</v>
      </c>
      <c r="L51" s="345">
        <f t="shared" si="1"/>
        <v>42</v>
      </c>
      <c r="M51" s="346">
        <f t="shared" si="2"/>
        <v>5.9453373246654904</v>
      </c>
      <c r="N51" s="345">
        <f t="shared" si="3"/>
        <v>32</v>
      </c>
      <c r="O51" s="345">
        <f t="shared" si="4"/>
        <v>39</v>
      </c>
      <c r="P51" s="347">
        <f t="shared" si="5"/>
        <v>552.08738949566418</v>
      </c>
      <c r="Q51" s="345">
        <f t="shared" si="6"/>
        <v>32</v>
      </c>
      <c r="R51" s="346">
        <f t="shared" si="7"/>
        <v>0.91585283136549567</v>
      </c>
      <c r="S51" s="346">
        <f t="shared" si="8"/>
        <v>-0.39701602593759705</v>
      </c>
      <c r="T51" s="345">
        <f t="shared" si="10"/>
        <v>42</v>
      </c>
      <c r="U51"/>
      <c r="V51"/>
      <c r="W51"/>
      <c r="X51"/>
      <c r="Z51"/>
      <c r="AA51"/>
      <c r="AB51"/>
      <c r="AC51"/>
      <c r="AD51"/>
      <c r="AE51"/>
      <c r="AF51"/>
      <c r="AG51"/>
      <c r="AH51"/>
      <c r="AI51"/>
    </row>
    <row r="52" spans="1:35" s="176" customFormat="1" ht="15">
      <c r="A52" s="90">
        <v>48</v>
      </c>
      <c r="B52" s="340" t="s">
        <v>73</v>
      </c>
      <c r="C52" s="341">
        <v>29827.708065032959</v>
      </c>
      <c r="D52" s="342">
        <v>23556.769155883791</v>
      </c>
      <c r="E52" s="342">
        <v>2</v>
      </c>
      <c r="F52" s="342">
        <v>102</v>
      </c>
      <c r="G52" s="342"/>
      <c r="H52" s="344">
        <v>4.0835777999999996</v>
      </c>
      <c r="I52" s="344">
        <v>4.0969446700000001</v>
      </c>
      <c r="J52" s="345">
        <f t="shared" si="0"/>
        <v>56</v>
      </c>
      <c r="K52" s="345">
        <f t="shared" si="0"/>
        <v>55</v>
      </c>
      <c r="L52" s="345">
        <f t="shared" si="1"/>
        <v>55</v>
      </c>
      <c r="M52" s="346">
        <f t="shared" si="2"/>
        <v>4.3299655960895382</v>
      </c>
      <c r="N52" s="345">
        <f t="shared" si="3"/>
        <v>48</v>
      </c>
      <c r="O52" s="345">
        <f t="shared" si="4"/>
        <v>59</v>
      </c>
      <c r="P52" s="347">
        <f t="shared" si="5"/>
        <v>173.35050375446082</v>
      </c>
      <c r="Q52" s="345">
        <f t="shared" si="6"/>
        <v>63</v>
      </c>
      <c r="R52" s="346">
        <f t="shared" si="7"/>
        <v>-0.32626435250345898</v>
      </c>
      <c r="S52" s="346">
        <f t="shared" si="8"/>
        <v>-1.6229738362089765</v>
      </c>
      <c r="T52" s="345">
        <f t="shared" si="10"/>
        <v>50</v>
      </c>
      <c r="U52"/>
      <c r="V52"/>
      <c r="W52"/>
      <c r="X52"/>
      <c r="Z52"/>
      <c r="AA52"/>
      <c r="AB52"/>
      <c r="AC52"/>
      <c r="AD52"/>
      <c r="AE52"/>
      <c r="AF52"/>
      <c r="AG52"/>
      <c r="AH52"/>
      <c r="AI52"/>
    </row>
    <row r="53" spans="1:35" s="176" customFormat="1" ht="15">
      <c r="A53" s="90">
        <v>49</v>
      </c>
      <c r="B53" s="340" t="s">
        <v>74</v>
      </c>
      <c r="C53" s="341">
        <v>200075.40166091919</v>
      </c>
      <c r="D53" s="342">
        <v>160677.48425369262</v>
      </c>
      <c r="E53" s="342">
        <v>15</v>
      </c>
      <c r="F53" s="342">
        <v>955</v>
      </c>
      <c r="G53" s="342">
        <v>3637.8425229528721</v>
      </c>
      <c r="H53" s="344">
        <v>110.20989494</v>
      </c>
      <c r="I53" s="344">
        <v>111.94228537000001</v>
      </c>
      <c r="J53" s="345">
        <f t="shared" si="0"/>
        <v>4</v>
      </c>
      <c r="K53" s="345">
        <f t="shared" si="0"/>
        <v>3</v>
      </c>
      <c r="L53" s="345">
        <f t="shared" si="1"/>
        <v>3</v>
      </c>
      <c r="M53" s="346">
        <f t="shared" si="2"/>
        <v>5.9435832247171412</v>
      </c>
      <c r="N53" s="345">
        <f t="shared" si="3"/>
        <v>33</v>
      </c>
      <c r="O53" s="345">
        <f t="shared" si="4"/>
        <v>7</v>
      </c>
      <c r="P53" s="347">
        <f t="shared" si="5"/>
        <v>685.90752121803405</v>
      </c>
      <c r="Q53" s="345">
        <f t="shared" si="6"/>
        <v>10</v>
      </c>
      <c r="R53" s="346">
        <f t="shared" si="7"/>
        <v>-1.5475746490917022</v>
      </c>
      <c r="S53" s="346">
        <f t="shared" si="8"/>
        <v>-2.8283954472388224</v>
      </c>
      <c r="T53" s="345">
        <f t="shared" si="10"/>
        <v>61</v>
      </c>
      <c r="U53" s="342">
        <v>3637.8425229528721</v>
      </c>
      <c r="V53"/>
      <c r="W53"/>
      <c r="X53"/>
      <c r="Z53"/>
      <c r="AA53"/>
      <c r="AB53"/>
      <c r="AC53"/>
      <c r="AD53"/>
      <c r="AE53"/>
      <c r="AF53"/>
      <c r="AG53"/>
      <c r="AH53"/>
      <c r="AI53"/>
    </row>
    <row r="54" spans="1:35" s="176" customFormat="1" ht="15">
      <c r="A54" s="90">
        <v>50</v>
      </c>
      <c r="B54" s="340" t="s">
        <v>75</v>
      </c>
      <c r="C54" s="341">
        <v>128741.33144903739</v>
      </c>
      <c r="D54" s="342">
        <v>102928.57058225975</v>
      </c>
      <c r="E54" s="342">
        <v>11</v>
      </c>
      <c r="F54" s="342">
        <v>745</v>
      </c>
      <c r="G54" s="342">
        <v>2425.7221177769393</v>
      </c>
      <c r="H54" s="344">
        <v>77.65075856</v>
      </c>
      <c r="I54" s="344">
        <v>78.589175420000004</v>
      </c>
      <c r="J54" s="345">
        <f t="shared" si="0"/>
        <v>14</v>
      </c>
      <c r="K54" s="345">
        <f t="shared" si="0"/>
        <v>13</v>
      </c>
      <c r="L54" s="345">
        <f t="shared" si="1"/>
        <v>13</v>
      </c>
      <c r="M54" s="346">
        <f t="shared" si="2"/>
        <v>7.2380292059394868</v>
      </c>
      <c r="N54" s="345">
        <f t="shared" si="3"/>
        <v>18</v>
      </c>
      <c r="O54" s="345">
        <f t="shared" si="4"/>
        <v>13</v>
      </c>
      <c r="P54" s="347">
        <f t="shared" si="5"/>
        <v>754.414038014276</v>
      </c>
      <c r="Q54" s="345">
        <f t="shared" si="6"/>
        <v>4</v>
      </c>
      <c r="R54" s="346">
        <f t="shared" si="7"/>
        <v>-1.1940790254953966</v>
      </c>
      <c r="S54" s="346">
        <f t="shared" si="8"/>
        <v>-2.4794986392140261</v>
      </c>
      <c r="T54" s="345">
        <f t="shared" si="10"/>
        <v>58</v>
      </c>
      <c r="U54" s="342">
        <v>2425.7221177769393</v>
      </c>
      <c r="V54"/>
      <c r="W54"/>
      <c r="X54"/>
      <c r="Z54"/>
      <c r="AA54"/>
      <c r="AB54"/>
      <c r="AC54"/>
      <c r="AD54"/>
      <c r="AE54"/>
      <c r="AF54"/>
      <c r="AG54"/>
      <c r="AH54"/>
      <c r="AI54"/>
    </row>
    <row r="55" spans="1:35" s="176" customFormat="1" ht="15">
      <c r="A55" s="90">
        <v>51</v>
      </c>
      <c r="B55" s="340" t="s">
        <v>76</v>
      </c>
      <c r="C55" s="341">
        <v>34862.218224199634</v>
      </c>
      <c r="D55" s="342">
        <v>26404.975535972982</v>
      </c>
      <c r="E55" s="342">
        <v>3</v>
      </c>
      <c r="F55" s="342">
        <v>110</v>
      </c>
      <c r="G55" s="342"/>
      <c r="H55" s="344">
        <v>9.6838218700000009</v>
      </c>
      <c r="I55" s="344">
        <v>9.1899573699999983</v>
      </c>
      <c r="J55" s="345">
        <f t="shared" si="0"/>
        <v>49</v>
      </c>
      <c r="K55" s="345">
        <f t="shared" si="0"/>
        <v>50</v>
      </c>
      <c r="L55" s="345">
        <f t="shared" si="1"/>
        <v>50</v>
      </c>
      <c r="M55" s="346">
        <f t="shared" si="2"/>
        <v>4.1658815343396478</v>
      </c>
      <c r="N55" s="345">
        <f t="shared" si="3"/>
        <v>51</v>
      </c>
      <c r="O55" s="345">
        <f t="shared" si="4"/>
        <v>45</v>
      </c>
      <c r="P55" s="347">
        <f t="shared" si="5"/>
        <v>366.74231554606769</v>
      </c>
      <c r="Q55" s="345">
        <f t="shared" si="6"/>
        <v>47</v>
      </c>
      <c r="R55" s="346">
        <f t="shared" si="7"/>
        <v>5.3739585518882844</v>
      </c>
      <c r="S55" s="346">
        <f t="shared" si="8"/>
        <v>4.0030917884205364</v>
      </c>
      <c r="T55" s="345">
        <f t="shared" si="10"/>
        <v>8</v>
      </c>
      <c r="U55"/>
      <c r="V55"/>
      <c r="W55"/>
      <c r="X55"/>
      <c r="Z55"/>
      <c r="AA55"/>
      <c r="AB55"/>
      <c r="AC55"/>
      <c r="AD55"/>
      <c r="AE55"/>
      <c r="AF55"/>
      <c r="AG55"/>
      <c r="AH55"/>
      <c r="AI55"/>
    </row>
    <row r="56" spans="1:35" s="176" customFormat="1" ht="15">
      <c r="A56" s="90">
        <v>52</v>
      </c>
      <c r="B56" s="340" t="s">
        <v>77</v>
      </c>
      <c r="C56" s="341">
        <v>182956.40089714728</v>
      </c>
      <c r="D56" s="342">
        <v>148336.87105457729</v>
      </c>
      <c r="E56" s="342">
        <v>12</v>
      </c>
      <c r="F56" s="342">
        <v>641</v>
      </c>
      <c r="G56" s="342">
        <v>2041.6257036537395</v>
      </c>
      <c r="H56" s="344">
        <v>63.6</v>
      </c>
      <c r="I56" s="344">
        <v>64.168977159999983</v>
      </c>
      <c r="J56" s="345">
        <f t="shared" si="0"/>
        <v>12</v>
      </c>
      <c r="K56" s="345">
        <f t="shared" si="0"/>
        <v>18</v>
      </c>
      <c r="L56" s="345">
        <f t="shared" si="1"/>
        <v>18</v>
      </c>
      <c r="M56" s="346">
        <f t="shared" si="2"/>
        <v>4.3212452537451611</v>
      </c>
      <c r="N56" s="345">
        <f t="shared" si="3"/>
        <v>49</v>
      </c>
      <c r="O56" s="345">
        <f t="shared" si="4"/>
        <v>17</v>
      </c>
      <c r="P56" s="347">
        <f t="shared" si="5"/>
        <v>428.75381924834983</v>
      </c>
      <c r="Q56" s="345">
        <f t="shared" si="6"/>
        <v>42</v>
      </c>
      <c r="R56" s="346">
        <f t="shared" si="7"/>
        <v>-0.88668572444482707</v>
      </c>
      <c r="S56" s="346">
        <f t="shared" si="8"/>
        <v>-2.1761043837105047</v>
      </c>
      <c r="T56" s="345">
        <f t="shared" si="10"/>
        <v>57</v>
      </c>
      <c r="U56" s="342">
        <v>2041.6257036537395</v>
      </c>
      <c r="V56"/>
      <c r="W56"/>
      <c r="X56"/>
      <c r="Z56"/>
      <c r="AA56"/>
      <c r="AB56"/>
      <c r="AC56"/>
      <c r="AD56"/>
      <c r="AE56"/>
      <c r="AF56"/>
      <c r="AG56"/>
      <c r="AH56"/>
      <c r="AI56"/>
    </row>
    <row r="57" spans="1:35" s="176" customFormat="1" ht="15">
      <c r="A57" s="90">
        <v>53</v>
      </c>
      <c r="B57" s="340" t="s">
        <v>78</v>
      </c>
      <c r="C57" s="341">
        <v>166225.17827987671</v>
      </c>
      <c r="D57" s="342">
        <v>132022.9678123474</v>
      </c>
      <c r="E57" s="342">
        <v>17</v>
      </c>
      <c r="F57" s="342">
        <v>825</v>
      </c>
      <c r="G57" s="342">
        <v>2382.3924288332028</v>
      </c>
      <c r="H57" s="344">
        <v>83.35756714999998</v>
      </c>
      <c r="I57" s="344">
        <v>83.996241790000013</v>
      </c>
      <c r="J57" s="345">
        <f t="shared" si="0"/>
        <v>2</v>
      </c>
      <c r="K57" s="345">
        <f t="shared" si="0"/>
        <v>9</v>
      </c>
      <c r="L57" s="345">
        <f t="shared" si="1"/>
        <v>9</v>
      </c>
      <c r="M57" s="346">
        <f t="shared" si="2"/>
        <v>6.2489126980740561</v>
      </c>
      <c r="N57" s="345">
        <f t="shared" si="3"/>
        <v>28</v>
      </c>
      <c r="O57" s="345">
        <f t="shared" si="4"/>
        <v>11</v>
      </c>
      <c r="P57" s="347">
        <f t="shared" si="5"/>
        <v>631.38686041720678</v>
      </c>
      <c r="Q57" s="345">
        <f t="shared" si="6"/>
        <v>18</v>
      </c>
      <c r="R57" s="346">
        <f t="shared" si="7"/>
        <v>-0.76036097138344749</v>
      </c>
      <c r="S57" s="346">
        <f t="shared" si="8"/>
        <v>-2.0514230576186989</v>
      </c>
      <c r="T57" s="345">
        <f t="shared" si="10"/>
        <v>55</v>
      </c>
      <c r="U57" s="342">
        <v>2382.3924288332028</v>
      </c>
      <c r="V57"/>
      <c r="W57"/>
      <c r="X57"/>
      <c r="Z57"/>
      <c r="AA57"/>
      <c r="AB57"/>
      <c r="AC57"/>
      <c r="AD57"/>
      <c r="AE57"/>
      <c r="AF57"/>
      <c r="AG57"/>
      <c r="AH57"/>
      <c r="AI57"/>
    </row>
    <row r="58" spans="1:35" s="176" customFormat="1" ht="15">
      <c r="A58" s="90">
        <v>54</v>
      </c>
      <c r="B58" s="340" t="s">
        <v>79</v>
      </c>
      <c r="C58" s="341">
        <v>19553.728783040504</v>
      </c>
      <c r="D58" s="342">
        <v>16035.068807317362</v>
      </c>
      <c r="E58" s="342">
        <v>1</v>
      </c>
      <c r="F58" s="342">
        <v>30</v>
      </c>
      <c r="G58" s="342"/>
      <c r="H58" s="344">
        <v>2.9910617099999999</v>
      </c>
      <c r="I58" s="344">
        <v>2.90251649</v>
      </c>
      <c r="J58" s="345">
        <f t="shared" si="0"/>
        <v>64</v>
      </c>
      <c r="K58" s="345">
        <f t="shared" si="0"/>
        <v>67</v>
      </c>
      <c r="L58" s="345">
        <f t="shared" si="1"/>
        <v>67</v>
      </c>
      <c r="M58" s="346">
        <f t="shared" si="2"/>
        <v>1.8708993619229093</v>
      </c>
      <c r="N58" s="345">
        <f t="shared" si="3"/>
        <v>67</v>
      </c>
      <c r="O58" s="345">
        <f t="shared" si="4"/>
        <v>62</v>
      </c>
      <c r="P58" s="347">
        <f t="shared" si="5"/>
        <v>186.53251482370152</v>
      </c>
      <c r="Q58" s="345">
        <f t="shared" si="6"/>
        <v>62</v>
      </c>
      <c r="R58" s="346">
        <f t="shared" si="7"/>
        <v>3.0506362428969305</v>
      </c>
      <c r="S58" s="346">
        <f t="shared" si="8"/>
        <v>1.7099948347066105</v>
      </c>
      <c r="T58" s="345">
        <f t="shared" si="10"/>
        <v>18</v>
      </c>
      <c r="U58"/>
      <c r="V58"/>
      <c r="W58"/>
      <c r="X58"/>
      <c r="Z58"/>
      <c r="AA58"/>
      <c r="AB58"/>
      <c r="AC58"/>
      <c r="AD58"/>
      <c r="AE58"/>
      <c r="AF58"/>
      <c r="AG58"/>
      <c r="AH58"/>
      <c r="AI58"/>
    </row>
    <row r="59" spans="1:35" s="176" customFormat="1" ht="15">
      <c r="A59" s="90">
        <v>55</v>
      </c>
      <c r="B59" s="340" t="s">
        <v>80</v>
      </c>
      <c r="C59" s="341">
        <v>16971.27706382432</v>
      </c>
      <c r="D59" s="342">
        <v>12938.625676121996</v>
      </c>
      <c r="E59" s="342">
        <v>0</v>
      </c>
      <c r="F59" s="342">
        <v>0</v>
      </c>
      <c r="G59" s="342"/>
      <c r="H59" s="344">
        <v>0</v>
      </c>
      <c r="I59" s="344">
        <v>0</v>
      </c>
      <c r="J59" s="345">
        <f t="shared" si="0"/>
        <v>70</v>
      </c>
      <c r="K59" s="345">
        <f t="shared" si="0"/>
        <v>70</v>
      </c>
      <c r="L59" s="345">
        <f t="shared" si="1"/>
        <v>70</v>
      </c>
      <c r="M59" s="346">
        <f t="shared" si="2"/>
        <v>0</v>
      </c>
      <c r="N59" s="345">
        <f t="shared" si="3"/>
        <v>70</v>
      </c>
      <c r="O59" s="345">
        <f t="shared" si="4"/>
        <v>70</v>
      </c>
      <c r="P59" s="347">
        <f t="shared" si="5"/>
        <v>0</v>
      </c>
      <c r="Q59" s="345">
        <f t="shared" si="6"/>
        <v>70</v>
      </c>
      <c r="R59" s="346"/>
      <c r="S59" s="346">
        <v>0</v>
      </c>
      <c r="T59" s="345">
        <f t="shared" si="10"/>
        <v>31</v>
      </c>
      <c r="U59"/>
      <c r="V59"/>
      <c r="W59"/>
      <c r="X59"/>
      <c r="Z59"/>
      <c r="AA59"/>
      <c r="AB59"/>
      <c r="AC59"/>
      <c r="AD59"/>
      <c r="AE59"/>
      <c r="AF59"/>
      <c r="AG59"/>
      <c r="AH59"/>
      <c r="AI59"/>
    </row>
    <row r="60" spans="1:35" s="176" customFormat="1" ht="15">
      <c r="A60" s="90">
        <v>56</v>
      </c>
      <c r="B60" s="340" t="s">
        <v>81</v>
      </c>
      <c r="C60" s="341">
        <v>14515.675722721193</v>
      </c>
      <c r="D60" s="342">
        <v>11767.639335369395</v>
      </c>
      <c r="E60" s="342">
        <v>1</v>
      </c>
      <c r="F60" s="342">
        <v>25</v>
      </c>
      <c r="G60" s="342"/>
      <c r="H60" s="344">
        <v>1.44275324</v>
      </c>
      <c r="I60" s="344">
        <v>1.5215112</v>
      </c>
      <c r="J60" s="345">
        <f t="shared" si="0"/>
        <v>64</v>
      </c>
      <c r="K60" s="345">
        <f t="shared" si="0"/>
        <v>68</v>
      </c>
      <c r="L60" s="345">
        <f t="shared" si="1"/>
        <v>68</v>
      </c>
      <c r="M60" s="346">
        <f t="shared" si="2"/>
        <v>2.1244702771318602</v>
      </c>
      <c r="N60" s="345">
        <f t="shared" si="3"/>
        <v>65</v>
      </c>
      <c r="O60" s="345">
        <f t="shared" si="4"/>
        <v>68</v>
      </c>
      <c r="P60" s="347">
        <f t="shared" si="5"/>
        <v>122.60345502462759</v>
      </c>
      <c r="Q60" s="345">
        <f t="shared" si="6"/>
        <v>68</v>
      </c>
      <c r="R60" s="346">
        <f t="shared" si="7"/>
        <v>-5.1762984064790265</v>
      </c>
      <c r="S60" s="346">
        <f t="shared" si="8"/>
        <v>-6.4099111765595271</v>
      </c>
      <c r="T60" s="345">
        <f t="shared" si="10"/>
        <v>76</v>
      </c>
      <c r="U60"/>
      <c r="V60"/>
      <c r="W60"/>
      <c r="X60"/>
      <c r="Z60"/>
      <c r="AA60"/>
      <c r="AB60"/>
      <c r="AC60"/>
      <c r="AD60"/>
      <c r="AE60"/>
      <c r="AF60"/>
      <c r="AG60"/>
      <c r="AH60"/>
      <c r="AI60"/>
    </row>
    <row r="61" spans="1:35" s="176" customFormat="1" ht="15">
      <c r="A61" s="90">
        <v>57</v>
      </c>
      <c r="B61" s="340" t="s">
        <v>82</v>
      </c>
      <c r="C61" s="341">
        <v>64771.783713817596</v>
      </c>
      <c r="D61" s="342">
        <v>49382.96179151535</v>
      </c>
      <c r="E61" s="342">
        <v>2</v>
      </c>
      <c r="F61" s="342">
        <v>90</v>
      </c>
      <c r="G61" s="342">
        <v>288.56678802749536</v>
      </c>
      <c r="H61" s="344">
        <v>9.8500882300000008</v>
      </c>
      <c r="I61" s="344">
        <v>8.997960410000001</v>
      </c>
      <c r="J61" s="345">
        <f t="shared" si="0"/>
        <v>56</v>
      </c>
      <c r="K61" s="345">
        <f t="shared" si="0"/>
        <v>57</v>
      </c>
      <c r="L61" s="345">
        <f t="shared" si="1"/>
        <v>57</v>
      </c>
      <c r="M61" s="346">
        <f t="shared" si="2"/>
        <v>1.8224909307781372</v>
      </c>
      <c r="N61" s="345">
        <f t="shared" si="3"/>
        <v>68</v>
      </c>
      <c r="O61" s="345">
        <f t="shared" si="4"/>
        <v>44</v>
      </c>
      <c r="P61" s="347">
        <f t="shared" si="5"/>
        <v>199.46329407266086</v>
      </c>
      <c r="Q61" s="345">
        <f t="shared" si="6"/>
        <v>61</v>
      </c>
      <c r="R61" s="346">
        <f t="shared" si="7"/>
        <v>9.4702330436237112</v>
      </c>
      <c r="S61" s="346">
        <f t="shared" si="8"/>
        <v>8.0460756319547091</v>
      </c>
      <c r="T61" s="345">
        <f t="shared" si="10"/>
        <v>4</v>
      </c>
      <c r="U61" s="342">
        <v>288.56678802749536</v>
      </c>
      <c r="V61"/>
      <c r="W61"/>
      <c r="X61"/>
      <c r="Z61"/>
      <c r="AA61"/>
      <c r="AB61"/>
      <c r="AC61"/>
      <c r="AD61"/>
      <c r="AE61"/>
      <c r="AF61"/>
      <c r="AG61"/>
      <c r="AH61"/>
      <c r="AI61"/>
    </row>
    <row r="62" spans="1:35" s="176" customFormat="1" ht="15">
      <c r="A62" s="90">
        <v>58</v>
      </c>
      <c r="B62" s="340" t="s">
        <v>83</v>
      </c>
      <c r="C62" s="341">
        <v>11387.70550036546</v>
      </c>
      <c r="D62" s="342">
        <v>9279.9167655172878</v>
      </c>
      <c r="E62" s="342">
        <v>2</v>
      </c>
      <c r="F62" s="342">
        <v>80</v>
      </c>
      <c r="G62" s="342"/>
      <c r="H62" s="344">
        <v>4.0735061900000007</v>
      </c>
      <c r="I62" s="344">
        <v>4.4609354699999999</v>
      </c>
      <c r="J62" s="345">
        <f t="shared" si="0"/>
        <v>56</v>
      </c>
      <c r="K62" s="345">
        <f t="shared" si="0"/>
        <v>60</v>
      </c>
      <c r="L62" s="345">
        <f t="shared" si="1"/>
        <v>60</v>
      </c>
      <c r="M62" s="346">
        <f t="shared" si="2"/>
        <v>8.6207669768405069</v>
      </c>
      <c r="N62" s="345">
        <f t="shared" si="3"/>
        <v>10</v>
      </c>
      <c r="O62" s="345">
        <f t="shared" si="4"/>
        <v>60</v>
      </c>
      <c r="P62" s="347">
        <f t="shared" si="5"/>
        <v>438.9593455338424</v>
      </c>
      <c r="Q62" s="345">
        <f t="shared" si="6"/>
        <v>41</v>
      </c>
      <c r="R62" s="346">
        <f t="shared" si="7"/>
        <v>-8.6849335213539689</v>
      </c>
      <c r="S62" s="346">
        <f t="shared" si="8"/>
        <v>-9.8729005614057321</v>
      </c>
      <c r="T62" s="345">
        <f t="shared" si="10"/>
        <v>77</v>
      </c>
      <c r="U62"/>
      <c r="V62"/>
      <c r="W62"/>
      <c r="X62"/>
      <c r="Z62"/>
      <c r="AA62"/>
      <c r="AB62"/>
      <c r="AC62"/>
      <c r="AD62"/>
      <c r="AE62"/>
      <c r="AF62"/>
      <c r="AG62"/>
      <c r="AH62"/>
      <c r="AI62"/>
    </row>
    <row r="63" spans="1:35" s="176" customFormat="1" ht="15">
      <c r="A63" s="90">
        <v>59</v>
      </c>
      <c r="B63" s="340" t="s">
        <v>84</v>
      </c>
      <c r="C63" s="341">
        <v>114894.34657326328</v>
      </c>
      <c r="D63" s="342">
        <v>98948.598489752127</v>
      </c>
      <c r="E63" s="342">
        <v>10</v>
      </c>
      <c r="F63" s="342">
        <v>377</v>
      </c>
      <c r="G63" s="342">
        <v>912.85169158519284</v>
      </c>
      <c r="H63" s="344">
        <v>28.426650629999997</v>
      </c>
      <c r="I63" s="344">
        <v>27.496648160000003</v>
      </c>
      <c r="J63" s="345">
        <f t="shared" si="0"/>
        <v>18</v>
      </c>
      <c r="K63" s="345">
        <f t="shared" si="0"/>
        <v>29</v>
      </c>
      <c r="L63" s="345">
        <f t="shared" si="1"/>
        <v>29</v>
      </c>
      <c r="M63" s="346">
        <f t="shared" si="2"/>
        <v>3.8100590180571889</v>
      </c>
      <c r="N63" s="345">
        <f t="shared" si="3"/>
        <v>55</v>
      </c>
      <c r="O63" s="345">
        <f t="shared" si="4"/>
        <v>33</v>
      </c>
      <c r="P63" s="347">
        <f t="shared" si="5"/>
        <v>287.2870466471951</v>
      </c>
      <c r="Q63" s="345">
        <f t="shared" si="6"/>
        <v>51</v>
      </c>
      <c r="R63" s="346">
        <f t="shared" si="7"/>
        <v>3.3822394081940867</v>
      </c>
      <c r="S63" s="346">
        <f t="shared" si="8"/>
        <v>2.0372839952513981</v>
      </c>
      <c r="T63" s="345">
        <f t="shared" si="10"/>
        <v>14</v>
      </c>
      <c r="U63" s="342">
        <v>912.85169158519284</v>
      </c>
      <c r="V63"/>
      <c r="W63"/>
      <c r="X63"/>
      <c r="Z63"/>
      <c r="AA63"/>
      <c r="AB63"/>
      <c r="AC63"/>
      <c r="AD63"/>
      <c r="AE63"/>
      <c r="AF63"/>
      <c r="AG63"/>
      <c r="AH63"/>
      <c r="AI63"/>
    </row>
    <row r="64" spans="1:35" s="176" customFormat="1" ht="15">
      <c r="A64" s="90">
        <v>60</v>
      </c>
      <c r="B64" s="340" t="s">
        <v>85</v>
      </c>
      <c r="C64" s="341">
        <v>7346.3848375605066</v>
      </c>
      <c r="D64" s="342">
        <v>6016.4037029930842</v>
      </c>
      <c r="E64" s="342">
        <v>0</v>
      </c>
      <c r="F64" s="342">
        <v>0</v>
      </c>
      <c r="G64" s="342"/>
      <c r="H64" s="344">
        <v>0</v>
      </c>
      <c r="I64" s="344">
        <v>0</v>
      </c>
      <c r="J64" s="345">
        <f t="shared" si="0"/>
        <v>70</v>
      </c>
      <c r="K64" s="345">
        <f t="shared" si="0"/>
        <v>70</v>
      </c>
      <c r="L64" s="345">
        <f t="shared" si="1"/>
        <v>70</v>
      </c>
      <c r="M64" s="346">
        <f t="shared" si="2"/>
        <v>0</v>
      </c>
      <c r="N64" s="345">
        <f t="shared" si="3"/>
        <v>70</v>
      </c>
      <c r="O64" s="345">
        <f t="shared" si="4"/>
        <v>70</v>
      </c>
      <c r="P64" s="347">
        <f t="shared" si="5"/>
        <v>0</v>
      </c>
      <c r="Q64" s="345">
        <f t="shared" si="6"/>
        <v>70</v>
      </c>
      <c r="R64" s="346"/>
      <c r="S64" s="346">
        <v>0</v>
      </c>
      <c r="T64" s="345">
        <f t="shared" si="10"/>
        <v>31</v>
      </c>
      <c r="U64"/>
      <c r="V64"/>
      <c r="W64"/>
      <c r="X64"/>
      <c r="Z64"/>
      <c r="AA64"/>
      <c r="AB64"/>
      <c r="AC64"/>
      <c r="AD64"/>
      <c r="AE64"/>
      <c r="AF64"/>
      <c r="AG64"/>
      <c r="AH64"/>
      <c r="AI64"/>
    </row>
    <row r="65" spans="1:35" s="176" customFormat="1" ht="15">
      <c r="A65" s="90">
        <v>61</v>
      </c>
      <c r="B65" s="340" t="s">
        <v>86</v>
      </c>
      <c r="C65" s="341">
        <v>2982.8158842478333</v>
      </c>
      <c r="D65" s="342">
        <v>2533.397515578451</v>
      </c>
      <c r="E65" s="342">
        <v>0</v>
      </c>
      <c r="F65" s="342">
        <v>0</v>
      </c>
      <c r="G65" s="342"/>
      <c r="H65" s="344">
        <v>0</v>
      </c>
      <c r="I65" s="344">
        <v>1.3119530499999998</v>
      </c>
      <c r="J65" s="345">
        <f t="shared" si="0"/>
        <v>70</v>
      </c>
      <c r="K65" s="345">
        <f t="shared" si="0"/>
        <v>70</v>
      </c>
      <c r="L65" s="345">
        <f t="shared" si="1"/>
        <v>70</v>
      </c>
      <c r="M65" s="346">
        <f t="shared" si="2"/>
        <v>0</v>
      </c>
      <c r="N65" s="345">
        <f t="shared" si="3"/>
        <v>70</v>
      </c>
      <c r="O65" s="345">
        <f t="shared" si="4"/>
        <v>70</v>
      </c>
      <c r="P65" s="347">
        <f t="shared" si="5"/>
        <v>0</v>
      </c>
      <c r="Q65" s="345">
        <f t="shared" si="6"/>
        <v>70</v>
      </c>
      <c r="R65" s="346">
        <f t="shared" si="7"/>
        <v>-100</v>
      </c>
      <c r="S65" s="346">
        <f t="shared" si="8"/>
        <v>-100</v>
      </c>
      <c r="T65" s="345">
        <f t="shared" si="10"/>
        <v>79</v>
      </c>
      <c r="U65"/>
      <c r="V65"/>
      <c r="W65"/>
      <c r="X65"/>
      <c r="Z65"/>
      <c r="AA65"/>
      <c r="AB65"/>
      <c r="AC65"/>
      <c r="AD65"/>
      <c r="AE65"/>
      <c r="AF65"/>
      <c r="AG65"/>
      <c r="AH65"/>
      <c r="AI65"/>
    </row>
    <row r="66" spans="1:35" s="176" customFormat="1" ht="15">
      <c r="A66" s="90">
        <v>62</v>
      </c>
      <c r="B66" s="340" t="s">
        <v>87</v>
      </c>
      <c r="C66" s="341">
        <v>29692.424695640817</v>
      </c>
      <c r="D66" s="342">
        <v>23321.112117390927</v>
      </c>
      <c r="E66" s="342">
        <v>4</v>
      </c>
      <c r="F66" s="342">
        <v>105</v>
      </c>
      <c r="G66" s="342"/>
      <c r="H66" s="344">
        <v>6.3968125699999998</v>
      </c>
      <c r="I66" s="344">
        <v>6.3026706399999997</v>
      </c>
      <c r="J66" s="345">
        <f t="shared" si="0"/>
        <v>42</v>
      </c>
      <c r="K66" s="345">
        <f t="shared" si="0"/>
        <v>52</v>
      </c>
      <c r="L66" s="345">
        <f t="shared" si="1"/>
        <v>52</v>
      </c>
      <c r="M66" s="346">
        <f t="shared" si="2"/>
        <v>4.5023581839263933</v>
      </c>
      <c r="N66" s="345">
        <f t="shared" si="3"/>
        <v>46</v>
      </c>
      <c r="O66" s="345">
        <f t="shared" si="4"/>
        <v>54</v>
      </c>
      <c r="P66" s="347">
        <f t="shared" si="5"/>
        <v>274.29277548174019</v>
      </c>
      <c r="Q66" s="345">
        <f t="shared" si="6"/>
        <v>52</v>
      </c>
      <c r="R66" s="346">
        <f t="shared" si="7"/>
        <v>1.4936831603182132</v>
      </c>
      <c r="S66" s="346">
        <f t="shared" si="8"/>
        <v>0.17329699604694188</v>
      </c>
      <c r="T66" s="345">
        <f t="shared" si="10"/>
        <v>28</v>
      </c>
      <c r="U66"/>
      <c r="V66"/>
      <c r="W66"/>
      <c r="X66"/>
      <c r="Z66"/>
      <c r="AA66"/>
      <c r="AB66"/>
      <c r="AC66"/>
      <c r="AD66"/>
      <c r="AE66"/>
      <c r="AF66"/>
      <c r="AG66"/>
      <c r="AH66"/>
      <c r="AI66"/>
    </row>
    <row r="67" spans="1:35" s="176" customFormat="1" ht="15">
      <c r="A67" s="90">
        <v>63</v>
      </c>
      <c r="B67" s="340" t="s">
        <v>88</v>
      </c>
      <c r="C67" s="341">
        <v>16113.226192354154</v>
      </c>
      <c r="D67" s="342">
        <v>12697.987465564274</v>
      </c>
      <c r="E67" s="342">
        <v>2</v>
      </c>
      <c r="F67" s="342">
        <v>75</v>
      </c>
      <c r="G67" s="342"/>
      <c r="H67" s="344">
        <v>6.23901255</v>
      </c>
      <c r="I67" s="344">
        <v>6.04878567</v>
      </c>
      <c r="J67" s="345">
        <f t="shared" si="0"/>
        <v>56</v>
      </c>
      <c r="K67" s="345">
        <f t="shared" si="0"/>
        <v>61</v>
      </c>
      <c r="L67" s="345">
        <f t="shared" si="1"/>
        <v>61</v>
      </c>
      <c r="M67" s="346">
        <f t="shared" si="2"/>
        <v>5.9064477897298939</v>
      </c>
      <c r="N67" s="345">
        <f t="shared" si="3"/>
        <v>35</v>
      </c>
      <c r="O67" s="345">
        <f t="shared" si="4"/>
        <v>55</v>
      </c>
      <c r="P67" s="347">
        <f t="shared" si="5"/>
        <v>491.33869181392754</v>
      </c>
      <c r="Q67" s="345">
        <f t="shared" si="6"/>
        <v>37</v>
      </c>
      <c r="R67" s="346">
        <f t="shared" si="7"/>
        <v>3.1448771766449446</v>
      </c>
      <c r="S67" s="346">
        <f t="shared" si="8"/>
        <v>1.8030097372263181</v>
      </c>
      <c r="T67" s="345">
        <f t="shared" si="10"/>
        <v>16</v>
      </c>
      <c r="U67"/>
      <c r="V67"/>
      <c r="W67"/>
      <c r="X67"/>
      <c r="Z67"/>
      <c r="AA67"/>
      <c r="AB67"/>
      <c r="AC67"/>
      <c r="AD67"/>
      <c r="AE67"/>
      <c r="AF67"/>
      <c r="AG67"/>
      <c r="AH67"/>
      <c r="AI67"/>
    </row>
    <row r="68" spans="1:35" ht="15">
      <c r="A68" s="90">
        <v>64</v>
      </c>
      <c r="B68" s="340" t="s">
        <v>89</v>
      </c>
      <c r="C68" s="341">
        <v>116232.11395645142</v>
      </c>
      <c r="D68" s="342">
        <v>98964.217702484137</v>
      </c>
      <c r="E68" s="342">
        <v>7</v>
      </c>
      <c r="F68" s="342">
        <v>244</v>
      </c>
      <c r="G68" s="342">
        <v>712.18772237339294</v>
      </c>
      <c r="H68" s="344">
        <v>19.862345299999998</v>
      </c>
      <c r="I68" s="344">
        <v>20.852827550000001</v>
      </c>
      <c r="J68" s="345">
        <f t="shared" si="0"/>
        <v>32</v>
      </c>
      <c r="K68" s="345">
        <f t="shared" si="0"/>
        <v>36</v>
      </c>
      <c r="L68" s="345">
        <f t="shared" si="1"/>
        <v>36</v>
      </c>
      <c r="M68" s="346">
        <f t="shared" si="2"/>
        <v>2.4655376020203237</v>
      </c>
      <c r="N68" s="345">
        <f t="shared" si="3"/>
        <v>64</v>
      </c>
      <c r="O68" s="345">
        <f t="shared" si="4"/>
        <v>37</v>
      </c>
      <c r="P68" s="347">
        <f t="shared" si="5"/>
        <v>200.70229180926901</v>
      </c>
      <c r="Q68" s="345">
        <f t="shared" si="6"/>
        <v>60</v>
      </c>
      <c r="R68" s="346">
        <f t="shared" si="7"/>
        <v>-4.7498702400193347</v>
      </c>
      <c r="S68" s="346">
        <f t="shared" si="8"/>
        <v>-5.9890306445290662</v>
      </c>
      <c r="T68" s="345">
        <f t="shared" si="10"/>
        <v>74</v>
      </c>
      <c r="U68" s="342">
        <v>712.18772237339294</v>
      </c>
    </row>
    <row r="69" spans="1:35" ht="15">
      <c r="A69" s="90">
        <v>65</v>
      </c>
      <c r="B69" s="340" t="s">
        <v>90</v>
      </c>
      <c r="C69" s="341">
        <v>10659.834157503508</v>
      </c>
      <c r="D69" s="342">
        <v>8757.1088698631029</v>
      </c>
      <c r="E69" s="342">
        <v>1</v>
      </c>
      <c r="F69" s="342">
        <v>32</v>
      </c>
      <c r="G69" s="342"/>
      <c r="H69" s="344">
        <v>1.4838737900000001</v>
      </c>
      <c r="I69" s="344">
        <v>1.2131227</v>
      </c>
      <c r="J69" s="345">
        <f t="shared" si="0"/>
        <v>64</v>
      </c>
      <c r="K69" s="345">
        <f t="shared" si="0"/>
        <v>66</v>
      </c>
      <c r="L69" s="345">
        <f t="shared" si="1"/>
        <v>66</v>
      </c>
      <c r="M69" s="346">
        <f t="shared" si="2"/>
        <v>3.6541740516810828</v>
      </c>
      <c r="N69" s="345">
        <f t="shared" si="3"/>
        <v>56</v>
      </c>
      <c r="O69" s="345">
        <f t="shared" si="4"/>
        <v>67</v>
      </c>
      <c r="P69" s="347">
        <f t="shared" si="5"/>
        <v>169.44790935586451</v>
      </c>
      <c r="Q69" s="345">
        <f t="shared" si="6"/>
        <v>64</v>
      </c>
      <c r="R69" s="346">
        <f t="shared" si="7"/>
        <v>22.318524746095353</v>
      </c>
      <c r="S69" s="346">
        <f t="shared" si="8"/>
        <v>20.727216965356892</v>
      </c>
      <c r="T69" s="345">
        <f t="shared" ref="T69:T83" si="11">RANK($S69,$S$5:$S$83)</f>
        <v>2</v>
      </c>
    </row>
    <row r="70" spans="1:35" ht="15">
      <c r="A70" s="90">
        <v>66</v>
      </c>
      <c r="B70" s="340" t="s">
        <v>91</v>
      </c>
      <c r="C70" s="341">
        <v>32647.785904921631</v>
      </c>
      <c r="D70" s="342">
        <v>24963.710656464071</v>
      </c>
      <c r="E70" s="342">
        <v>3</v>
      </c>
      <c r="F70" s="342">
        <v>89</v>
      </c>
      <c r="G70" s="342"/>
      <c r="H70" s="344">
        <v>3.6393880800000002</v>
      </c>
      <c r="I70" s="344">
        <v>3.1714436400000001</v>
      </c>
      <c r="J70" s="345">
        <f t="shared" ref="J70:K83" si="12">RANK(E70,E$5:E$83)</f>
        <v>49</v>
      </c>
      <c r="K70" s="345">
        <f t="shared" si="12"/>
        <v>58</v>
      </c>
      <c r="L70" s="345">
        <f t="shared" ref="L70:L83" si="13">RANK(F70,F$5:F$83)</f>
        <v>58</v>
      </c>
      <c r="M70" s="346">
        <f t="shared" ref="M70:M85" si="14">F70/D70*1000</f>
        <v>3.5651751145799495</v>
      </c>
      <c r="N70" s="345">
        <f t="shared" ref="N70:N83" si="15">RANK(M70,M$5:M$83)</f>
        <v>59</v>
      </c>
      <c r="O70" s="345">
        <f t="shared" ref="O70:O83" si="16">RANK(H70,H$5:H$83)</f>
        <v>61</v>
      </c>
      <c r="P70" s="347">
        <f t="shared" ref="P70:P85" si="17">H70/D70*1000000</f>
        <v>145.78714399005511</v>
      </c>
      <c r="Q70" s="345">
        <f t="shared" ref="Q70:Q83" si="18">RANK(P70,P$5:P$83)</f>
        <v>66</v>
      </c>
      <c r="R70" s="346">
        <f t="shared" ref="R70:R85" si="19">(H70-I70)/I70*100</f>
        <v>14.754934758985664</v>
      </c>
      <c r="S70" s="346">
        <f t="shared" ref="S70:S85" si="20">IF((I70*H$3/I$3)&gt;0,(H70-(I70*H$3/I$3))/(I70*H$3/I$3)*100,"")</f>
        <v>13.262025807220901</v>
      </c>
      <c r="T70" s="345">
        <f t="shared" si="11"/>
        <v>3</v>
      </c>
    </row>
    <row r="71" spans="1:35" ht="15">
      <c r="A71" s="90">
        <v>67</v>
      </c>
      <c r="B71" s="340" t="s">
        <v>92</v>
      </c>
      <c r="C71" s="341">
        <v>20789.249075405794</v>
      </c>
      <c r="D71" s="342">
        <v>16062.850062662908</v>
      </c>
      <c r="E71" s="342">
        <v>4</v>
      </c>
      <c r="F71" s="342">
        <v>159</v>
      </c>
      <c r="G71" s="342"/>
      <c r="H71" s="344">
        <v>8.4861578400000006</v>
      </c>
      <c r="I71" s="344">
        <v>8.0742338900000004</v>
      </c>
      <c r="J71" s="345">
        <f t="shared" si="12"/>
        <v>42</v>
      </c>
      <c r="K71" s="345">
        <f t="shared" si="12"/>
        <v>44</v>
      </c>
      <c r="L71" s="345">
        <f t="shared" si="13"/>
        <v>44</v>
      </c>
      <c r="M71" s="346">
        <f t="shared" si="14"/>
        <v>9.8986169565004882</v>
      </c>
      <c r="N71" s="345">
        <f t="shared" si="15"/>
        <v>3</v>
      </c>
      <c r="O71" s="345">
        <f t="shared" si="16"/>
        <v>49</v>
      </c>
      <c r="P71" s="347">
        <f t="shared" si="17"/>
        <v>528.30959679599732</v>
      </c>
      <c r="Q71" s="345">
        <f t="shared" si="18"/>
        <v>35</v>
      </c>
      <c r="R71" s="346">
        <f t="shared" si="19"/>
        <v>5.1017094081231802</v>
      </c>
      <c r="S71" s="346">
        <f t="shared" si="20"/>
        <v>3.734384480870935</v>
      </c>
      <c r="T71" s="345">
        <f t="shared" si="11"/>
        <v>9</v>
      </c>
    </row>
    <row r="72" spans="1:35" ht="15">
      <c r="A72" s="90">
        <v>68</v>
      </c>
      <c r="B72" s="340" t="s">
        <v>93</v>
      </c>
      <c r="C72" s="341">
        <v>6073.7664169596183</v>
      </c>
      <c r="D72" s="342">
        <v>4926.2819747433559</v>
      </c>
      <c r="E72" s="342">
        <v>1</v>
      </c>
      <c r="F72" s="342">
        <v>10</v>
      </c>
      <c r="G72" s="342"/>
      <c r="H72" s="344">
        <v>0.21796046999999999</v>
      </c>
      <c r="I72" s="344">
        <v>0.21938289000000002</v>
      </c>
      <c r="J72" s="345">
        <f t="shared" si="12"/>
        <v>64</v>
      </c>
      <c r="K72" s="345">
        <f t="shared" si="12"/>
        <v>69</v>
      </c>
      <c r="L72" s="345">
        <f t="shared" si="13"/>
        <v>69</v>
      </c>
      <c r="M72" s="346">
        <f t="shared" si="14"/>
        <v>2.0299284635490178</v>
      </c>
      <c r="N72" s="345">
        <f t="shared" si="15"/>
        <v>66</v>
      </c>
      <c r="O72" s="345">
        <f t="shared" si="16"/>
        <v>69</v>
      </c>
      <c r="P72" s="347">
        <f t="shared" si="17"/>
        <v>44.244416198152166</v>
      </c>
      <c r="Q72" s="345">
        <f t="shared" si="18"/>
        <v>69</v>
      </c>
      <c r="R72" s="346">
        <f t="shared" si="19"/>
        <v>-0.64837326192577516</v>
      </c>
      <c r="S72" s="346">
        <f t="shared" si="20"/>
        <v>-1.9408922567836284</v>
      </c>
      <c r="T72" s="345">
        <f t="shared" si="11"/>
        <v>52</v>
      </c>
    </row>
    <row r="73" spans="1:35" ht="15">
      <c r="A73" s="90">
        <v>69</v>
      </c>
      <c r="B73" s="340" t="s">
        <v>94</v>
      </c>
      <c r="C73" s="341">
        <v>29128.312089920044</v>
      </c>
      <c r="D73" s="342">
        <v>22819.583897781373</v>
      </c>
      <c r="E73" s="342">
        <v>4</v>
      </c>
      <c r="F73" s="342">
        <v>154</v>
      </c>
      <c r="G73" s="342"/>
      <c r="H73" s="344">
        <v>8.8733557400000009</v>
      </c>
      <c r="I73" s="344">
        <v>8.7259293000000007</v>
      </c>
      <c r="J73" s="345">
        <f t="shared" si="12"/>
        <v>42</v>
      </c>
      <c r="K73" s="345">
        <f t="shared" si="12"/>
        <v>45</v>
      </c>
      <c r="L73" s="345">
        <f t="shared" si="13"/>
        <v>45</v>
      </c>
      <c r="M73" s="346">
        <f t="shared" si="14"/>
        <v>6.7485893121378346</v>
      </c>
      <c r="N73" s="345">
        <f t="shared" si="15"/>
        <v>22</v>
      </c>
      <c r="O73" s="345">
        <f t="shared" si="16"/>
        <v>47</v>
      </c>
      <c r="P73" s="347">
        <f t="shared" si="17"/>
        <v>388.84827084260337</v>
      </c>
      <c r="Q73" s="345">
        <f t="shared" si="18"/>
        <v>45</v>
      </c>
      <c r="R73" s="346">
        <f t="shared" si="19"/>
        <v>1.6895213670823608</v>
      </c>
      <c r="S73" s="346">
        <f t="shared" si="20"/>
        <v>0.36658743776213604</v>
      </c>
      <c r="T73" s="345">
        <f t="shared" si="11"/>
        <v>26</v>
      </c>
    </row>
    <row r="74" spans="1:35" ht="15">
      <c r="A74" s="90">
        <v>70</v>
      </c>
      <c r="B74" s="340" t="s">
        <v>95</v>
      </c>
      <c r="C74" s="341">
        <v>34982.253002620419</v>
      </c>
      <c r="D74" s="342">
        <v>27146.298679547202</v>
      </c>
      <c r="E74" s="342">
        <v>8</v>
      </c>
      <c r="F74" s="342">
        <v>234</v>
      </c>
      <c r="G74" s="342"/>
      <c r="H74" s="344">
        <v>19.365548919999998</v>
      </c>
      <c r="I74" s="344">
        <v>19.072936030000001</v>
      </c>
      <c r="J74" s="345">
        <f t="shared" si="12"/>
        <v>28</v>
      </c>
      <c r="K74" s="345">
        <f t="shared" si="12"/>
        <v>38</v>
      </c>
      <c r="L74" s="345">
        <f t="shared" si="13"/>
        <v>38</v>
      </c>
      <c r="M74" s="346">
        <f t="shared" si="14"/>
        <v>8.61995967709227</v>
      </c>
      <c r="N74" s="345">
        <f t="shared" si="15"/>
        <v>11</v>
      </c>
      <c r="O74" s="345">
        <f t="shared" si="16"/>
        <v>38</v>
      </c>
      <c r="P74" s="347">
        <f t="shared" si="17"/>
        <v>713.37714023571675</v>
      </c>
      <c r="Q74" s="345">
        <f t="shared" si="18"/>
        <v>6</v>
      </c>
      <c r="R74" s="346">
        <f t="shared" si="19"/>
        <v>1.5341785320295931</v>
      </c>
      <c r="S74" s="346">
        <f t="shared" si="20"/>
        <v>0.21326554158688121</v>
      </c>
      <c r="T74" s="345">
        <f t="shared" si="11"/>
        <v>27</v>
      </c>
    </row>
    <row r="75" spans="1:35" ht="15">
      <c r="A75" s="90">
        <v>71</v>
      </c>
      <c r="B75" s="340" t="s">
        <v>96</v>
      </c>
      <c r="C75" s="341">
        <v>44186.577967452788</v>
      </c>
      <c r="D75" s="342">
        <v>34708.25747630564</v>
      </c>
      <c r="E75" s="342">
        <v>7</v>
      </c>
      <c r="F75" s="342">
        <v>318</v>
      </c>
      <c r="G75" s="342"/>
      <c r="H75" s="344">
        <v>21.540735760000004</v>
      </c>
      <c r="I75" s="344">
        <v>21.260639200000004</v>
      </c>
      <c r="J75" s="345">
        <f t="shared" si="12"/>
        <v>32</v>
      </c>
      <c r="K75" s="345">
        <f t="shared" si="12"/>
        <v>33</v>
      </c>
      <c r="L75" s="345">
        <f t="shared" si="13"/>
        <v>33</v>
      </c>
      <c r="M75" s="346">
        <f t="shared" si="14"/>
        <v>9.1620848501855718</v>
      </c>
      <c r="N75" s="345">
        <f t="shared" si="15"/>
        <v>6</v>
      </c>
      <c r="O75" s="345">
        <f t="shared" si="16"/>
        <v>35</v>
      </c>
      <c r="P75" s="347">
        <f t="shared" si="17"/>
        <v>620.62279486964349</v>
      </c>
      <c r="Q75" s="345">
        <f t="shared" si="18"/>
        <v>20</v>
      </c>
      <c r="R75" s="346">
        <f t="shared" si="19"/>
        <v>1.3174418575336175</v>
      </c>
      <c r="S75" s="346">
        <f t="shared" si="20"/>
        <v>-6.5148840134080009E-4</v>
      </c>
      <c r="T75" s="345">
        <f t="shared" si="11"/>
        <v>40</v>
      </c>
    </row>
    <row r="76" spans="1:35" ht="15">
      <c r="A76" s="90">
        <v>72</v>
      </c>
      <c r="B76" s="340" t="s">
        <v>97</v>
      </c>
      <c r="C76" s="341">
        <v>3826.6985326557156</v>
      </c>
      <c r="D76" s="342">
        <v>3032.567426491034</v>
      </c>
      <c r="E76" s="342">
        <v>0</v>
      </c>
      <c r="F76" s="342">
        <v>0</v>
      </c>
      <c r="G76" s="342"/>
      <c r="H76" s="344">
        <v>0</v>
      </c>
      <c r="I76" s="344">
        <v>0</v>
      </c>
      <c r="J76" s="345">
        <f t="shared" si="12"/>
        <v>70</v>
      </c>
      <c r="K76" s="345">
        <f t="shared" si="12"/>
        <v>70</v>
      </c>
      <c r="L76" s="345">
        <f t="shared" si="13"/>
        <v>70</v>
      </c>
      <c r="M76" s="346">
        <f t="shared" si="14"/>
        <v>0</v>
      </c>
      <c r="N76" s="345">
        <f t="shared" si="15"/>
        <v>70</v>
      </c>
      <c r="O76" s="345">
        <f t="shared" si="16"/>
        <v>70</v>
      </c>
      <c r="P76" s="347">
        <f t="shared" si="17"/>
        <v>0</v>
      </c>
      <c r="Q76" s="345">
        <f t="shared" si="18"/>
        <v>70</v>
      </c>
      <c r="R76" s="346"/>
      <c r="S76" s="346">
        <v>0</v>
      </c>
      <c r="T76" s="345">
        <f t="shared" si="11"/>
        <v>31</v>
      </c>
    </row>
    <row r="77" spans="1:35" ht="15">
      <c r="A77" s="90">
        <v>73</v>
      </c>
      <c r="B77" s="340" t="s">
        <v>173</v>
      </c>
      <c r="C77" s="341">
        <v>176387.72849833331</v>
      </c>
      <c r="D77" s="342">
        <v>140069.01529100939</v>
      </c>
      <c r="E77" s="342">
        <v>6</v>
      </c>
      <c r="F77" s="342">
        <v>431</v>
      </c>
      <c r="G77" s="342">
        <v>1781.5784754737956</v>
      </c>
      <c r="H77" s="344">
        <v>52.795623890000002</v>
      </c>
      <c r="I77" s="344">
        <v>53.601233780000001</v>
      </c>
      <c r="J77" s="345">
        <f t="shared" si="12"/>
        <v>36</v>
      </c>
      <c r="K77" s="345">
        <f t="shared" si="12"/>
        <v>27</v>
      </c>
      <c r="L77" s="345">
        <f t="shared" si="13"/>
        <v>27</v>
      </c>
      <c r="M77" s="346">
        <f t="shared" si="14"/>
        <v>3.0770545441798691</v>
      </c>
      <c r="N77" s="345">
        <f t="shared" si="15"/>
        <v>61</v>
      </c>
      <c r="O77" s="345">
        <f t="shared" si="16"/>
        <v>24</v>
      </c>
      <c r="P77" s="347">
        <f t="shared" si="17"/>
        <v>376.92578747920129</v>
      </c>
      <c r="Q77" s="345">
        <f t="shared" si="18"/>
        <v>46</v>
      </c>
      <c r="R77" s="346">
        <f t="shared" si="19"/>
        <v>-1.5029689303543481</v>
      </c>
      <c r="S77" s="346">
        <f t="shared" si="20"/>
        <v>-2.7843700283982971</v>
      </c>
      <c r="T77" s="345">
        <f t="shared" si="11"/>
        <v>60</v>
      </c>
      <c r="U77" s="342">
        <v>1781.5784754737956</v>
      </c>
    </row>
    <row r="78" spans="1:35" ht="15">
      <c r="A78" s="90">
        <v>74</v>
      </c>
      <c r="B78" s="340" t="s">
        <v>98</v>
      </c>
      <c r="C78" s="341">
        <v>226534.64270687103</v>
      </c>
      <c r="D78" s="342">
        <v>169222.42409267428</v>
      </c>
      <c r="E78" s="342">
        <v>10</v>
      </c>
      <c r="F78" s="342">
        <v>691</v>
      </c>
      <c r="G78" s="342">
        <v>2644.6823503192277</v>
      </c>
      <c r="H78" s="344">
        <v>110.85616775999999</v>
      </c>
      <c r="I78" s="344">
        <v>109.47762586000002</v>
      </c>
      <c r="J78" s="345">
        <f t="shared" si="12"/>
        <v>18</v>
      </c>
      <c r="K78" s="345">
        <f t="shared" si="12"/>
        <v>16</v>
      </c>
      <c r="L78" s="345">
        <f t="shared" si="13"/>
        <v>16</v>
      </c>
      <c r="M78" s="346">
        <f t="shared" si="14"/>
        <v>4.0833831787067147</v>
      </c>
      <c r="N78" s="345">
        <f t="shared" si="15"/>
        <v>52</v>
      </c>
      <c r="O78" s="345">
        <f t="shared" si="16"/>
        <v>6</v>
      </c>
      <c r="P78" s="347">
        <f t="shared" si="17"/>
        <v>655.09147711588071</v>
      </c>
      <c r="Q78" s="345">
        <f t="shared" si="18"/>
        <v>16</v>
      </c>
      <c r="R78" s="346">
        <f t="shared" si="19"/>
        <v>1.2591996667546048</v>
      </c>
      <c r="S78" s="346">
        <f t="shared" si="20"/>
        <v>-5.8135975050519657E-2</v>
      </c>
      <c r="T78" s="345">
        <f t="shared" si="11"/>
        <v>41</v>
      </c>
      <c r="U78" s="342">
        <v>2644.6823503192277</v>
      </c>
    </row>
    <row r="79" spans="1:35" ht="15">
      <c r="A79" s="90">
        <v>75</v>
      </c>
      <c r="B79" s="340" t="s">
        <v>99</v>
      </c>
      <c r="C79" s="341">
        <v>42132.52108001709</v>
      </c>
      <c r="D79" s="342">
        <v>31714.126036071779</v>
      </c>
      <c r="E79" s="342">
        <v>3</v>
      </c>
      <c r="F79" s="342">
        <v>135</v>
      </c>
      <c r="G79" s="342"/>
      <c r="H79" s="344">
        <v>7.6431628300000005</v>
      </c>
      <c r="I79" s="344">
        <v>7.7680798599999994</v>
      </c>
      <c r="J79" s="345">
        <f t="shared" si="12"/>
        <v>49</v>
      </c>
      <c r="K79" s="345">
        <f t="shared" si="12"/>
        <v>47</v>
      </c>
      <c r="L79" s="345">
        <f t="shared" si="13"/>
        <v>47</v>
      </c>
      <c r="M79" s="346">
        <f t="shared" si="14"/>
        <v>4.2567781892034624</v>
      </c>
      <c r="N79" s="345">
        <f t="shared" si="15"/>
        <v>50</v>
      </c>
      <c r="O79" s="345">
        <f t="shared" si="16"/>
        <v>51</v>
      </c>
      <c r="P79" s="347">
        <f t="shared" si="17"/>
        <v>241.00184319462673</v>
      </c>
      <c r="Q79" s="345">
        <f t="shared" si="18"/>
        <v>54</v>
      </c>
      <c r="R79" s="346">
        <f t="shared" si="19"/>
        <v>-1.6080811764465937</v>
      </c>
      <c r="S79" s="346">
        <f t="shared" si="20"/>
        <v>-2.8881148124858895</v>
      </c>
      <c r="T79" s="345">
        <f t="shared" si="11"/>
        <v>62</v>
      </c>
    </row>
    <row r="80" spans="1:35" ht="15">
      <c r="A80" s="90">
        <v>76</v>
      </c>
      <c r="B80" s="340" t="s">
        <v>100</v>
      </c>
      <c r="C80" s="341">
        <v>262579.03374273371</v>
      </c>
      <c r="D80" s="342">
        <v>187780.7783993053</v>
      </c>
      <c r="E80" s="342">
        <v>13</v>
      </c>
      <c r="F80" s="342">
        <v>903</v>
      </c>
      <c r="G80" s="342">
        <v>2195.1763748477424</v>
      </c>
      <c r="H80" s="344">
        <v>106.05710217999999</v>
      </c>
      <c r="I80" s="344">
        <v>105.45837216000001</v>
      </c>
      <c r="J80" s="345">
        <f t="shared" si="12"/>
        <v>9</v>
      </c>
      <c r="K80" s="345">
        <f t="shared" si="12"/>
        <v>6</v>
      </c>
      <c r="L80" s="345">
        <f t="shared" si="13"/>
        <v>6</v>
      </c>
      <c r="M80" s="346">
        <f t="shared" si="14"/>
        <v>4.8087988967636566</v>
      </c>
      <c r="N80" s="345">
        <f t="shared" si="15"/>
        <v>42</v>
      </c>
      <c r="O80" s="345">
        <f t="shared" si="16"/>
        <v>8</v>
      </c>
      <c r="P80" s="347">
        <f t="shared" si="17"/>
        <v>564.79211069450093</v>
      </c>
      <c r="Q80" s="345">
        <f t="shared" si="18"/>
        <v>28</v>
      </c>
      <c r="R80" s="346">
        <f t="shared" si="19"/>
        <v>0.5677406238469066</v>
      </c>
      <c r="S80" s="346">
        <f t="shared" si="20"/>
        <v>-0.74059945365327617</v>
      </c>
      <c r="T80" s="345">
        <f t="shared" si="11"/>
        <v>46</v>
      </c>
      <c r="U80" s="342">
        <v>2195.1763748477424</v>
      </c>
    </row>
    <row r="81" spans="1:90" ht="15">
      <c r="A81" s="90">
        <v>77</v>
      </c>
      <c r="B81" s="340" t="s">
        <v>176</v>
      </c>
      <c r="C81" s="341">
        <v>98899.495115079073</v>
      </c>
      <c r="D81" s="342">
        <v>85820.301320061975</v>
      </c>
      <c r="E81" s="342">
        <v>8</v>
      </c>
      <c r="F81" s="342">
        <v>308</v>
      </c>
      <c r="G81" s="342">
        <v>961.32554118443056</v>
      </c>
      <c r="H81" s="344">
        <v>30.265707479999996</v>
      </c>
      <c r="I81" s="344">
        <v>31.07631057</v>
      </c>
      <c r="J81" s="345">
        <f t="shared" si="12"/>
        <v>28</v>
      </c>
      <c r="K81" s="345">
        <f t="shared" si="12"/>
        <v>34</v>
      </c>
      <c r="L81" s="345">
        <f t="shared" si="13"/>
        <v>34</v>
      </c>
      <c r="M81" s="346">
        <f t="shared" si="14"/>
        <v>3.5888944138209369</v>
      </c>
      <c r="N81" s="345">
        <f t="shared" si="15"/>
        <v>58</v>
      </c>
      <c r="O81" s="345">
        <f t="shared" si="16"/>
        <v>29</v>
      </c>
      <c r="P81" s="347">
        <f t="shared" si="17"/>
        <v>352.66372891334589</v>
      </c>
      <c r="Q81" s="345">
        <f t="shared" si="18"/>
        <v>49</v>
      </c>
      <c r="R81" s="346">
        <f t="shared" si="19"/>
        <v>-2.6084276901986319</v>
      </c>
      <c r="S81" s="346">
        <f t="shared" si="20"/>
        <v>-3.8754472779237137</v>
      </c>
      <c r="T81" s="345">
        <f t="shared" si="11"/>
        <v>67</v>
      </c>
      <c r="U81" s="342">
        <v>961.32554118443056</v>
      </c>
    </row>
    <row r="82" spans="1:90" ht="15">
      <c r="A82" s="90">
        <v>78</v>
      </c>
      <c r="B82" s="340" t="s">
        <v>101</v>
      </c>
      <c r="C82" s="341">
        <v>158361.59371454088</v>
      </c>
      <c r="D82" s="342">
        <v>121916.62099002211</v>
      </c>
      <c r="E82" s="342">
        <v>9</v>
      </c>
      <c r="F82" s="342">
        <v>428</v>
      </c>
      <c r="G82" s="342">
        <v>940.46508033063196</v>
      </c>
      <c r="H82" s="344">
        <v>29.226804269999995</v>
      </c>
      <c r="I82" s="344">
        <v>29.300516120000001</v>
      </c>
      <c r="J82" s="345">
        <f t="shared" si="12"/>
        <v>23</v>
      </c>
      <c r="K82" s="345">
        <f t="shared" si="12"/>
        <v>28</v>
      </c>
      <c r="L82" s="345">
        <f t="shared" si="13"/>
        <v>28</v>
      </c>
      <c r="M82" s="346">
        <f t="shared" si="14"/>
        <v>3.5105959837504708</v>
      </c>
      <c r="N82" s="345">
        <f t="shared" si="15"/>
        <v>60</v>
      </c>
      <c r="O82" s="345">
        <f t="shared" si="16"/>
        <v>31</v>
      </c>
      <c r="P82" s="347">
        <f t="shared" si="17"/>
        <v>239.7278076825306</v>
      </c>
      <c r="Q82" s="345">
        <f t="shared" si="18"/>
        <v>55</v>
      </c>
      <c r="R82" s="346">
        <f t="shared" si="19"/>
        <v>-0.25157184842109803</v>
      </c>
      <c r="S82" s="346">
        <f t="shared" si="20"/>
        <v>-1.5492530472707771</v>
      </c>
      <c r="T82" s="345">
        <f t="shared" si="11"/>
        <v>49</v>
      </c>
      <c r="U82" s="342">
        <v>940.46508033063196</v>
      </c>
    </row>
    <row r="83" spans="1:90" ht="15">
      <c r="A83" s="90">
        <v>79</v>
      </c>
      <c r="B83" s="340" t="s">
        <v>102</v>
      </c>
      <c r="C83" s="341">
        <v>6623.9382536608391</v>
      </c>
      <c r="D83" s="342">
        <v>5324.061164827428</v>
      </c>
      <c r="E83" s="342">
        <v>0</v>
      </c>
      <c r="F83" s="342">
        <v>0</v>
      </c>
      <c r="G83" s="342"/>
      <c r="H83" s="344">
        <v>0</v>
      </c>
      <c r="I83" s="344">
        <v>0</v>
      </c>
      <c r="J83" s="345">
        <f t="shared" si="12"/>
        <v>70</v>
      </c>
      <c r="K83" s="345">
        <f t="shared" si="12"/>
        <v>70</v>
      </c>
      <c r="L83" s="345">
        <f t="shared" si="13"/>
        <v>70</v>
      </c>
      <c r="M83" s="346">
        <f t="shared" si="14"/>
        <v>0</v>
      </c>
      <c r="N83" s="345">
        <f t="shared" si="15"/>
        <v>70</v>
      </c>
      <c r="O83" s="345">
        <f t="shared" si="16"/>
        <v>70</v>
      </c>
      <c r="P83" s="347">
        <f t="shared" si="17"/>
        <v>0</v>
      </c>
      <c r="Q83" s="345">
        <f t="shared" si="18"/>
        <v>70</v>
      </c>
      <c r="R83" s="346"/>
      <c r="S83" s="346">
        <v>0</v>
      </c>
      <c r="T83" s="345">
        <f t="shared" si="11"/>
        <v>31</v>
      </c>
    </row>
    <row r="84" spans="1:90" s="20" customFormat="1" ht="15">
      <c r="A84" s="90">
        <v>80</v>
      </c>
      <c r="B84" s="348" t="s">
        <v>1391</v>
      </c>
      <c r="C84" s="19">
        <v>6517548.259850719</v>
      </c>
      <c r="D84" s="19">
        <v>5088104.726931788</v>
      </c>
      <c r="E84" s="19">
        <f t="shared" ref="E84:I84" si="21">SUM(E5:E83)</f>
        <v>496</v>
      </c>
      <c r="F84" s="19">
        <f t="shared" si="21"/>
        <v>26473</v>
      </c>
      <c r="G84" s="19">
        <f t="shared" si="21"/>
        <v>54348.797155657332</v>
      </c>
      <c r="H84" s="19">
        <f t="shared" ref="H84" si="22">SUM(H5:H83)</f>
        <v>2699.7101427300004</v>
      </c>
      <c r="I84" s="19">
        <f t="shared" si="21"/>
        <v>2695.2840247999989</v>
      </c>
      <c r="J84" s="349" t="s">
        <v>1388</v>
      </c>
      <c r="K84" s="349" t="s">
        <v>1388</v>
      </c>
      <c r="L84" s="349" t="s">
        <v>1388</v>
      </c>
      <c r="M84" s="350">
        <f t="shared" si="14"/>
        <v>5.2029196372228874</v>
      </c>
      <c r="N84" s="349" t="s">
        <v>1388</v>
      </c>
      <c r="O84" s="349" t="s">
        <v>1388</v>
      </c>
      <c r="P84" s="349">
        <f t="shared" si="17"/>
        <v>530.59248730479067</v>
      </c>
      <c r="Q84" s="349" t="s">
        <v>1388</v>
      </c>
      <c r="R84" s="351">
        <f t="shared" si="19"/>
        <v>0.16421712477333242</v>
      </c>
      <c r="S84" s="351">
        <f t="shared" si="20"/>
        <v>-1.1388732974917186</v>
      </c>
      <c r="T84" s="349" t="s">
        <v>1388</v>
      </c>
      <c r="U84"/>
      <c r="V84"/>
      <c r="W84"/>
      <c r="X84"/>
      <c r="Z84"/>
      <c r="AA84"/>
      <c r="AB84"/>
      <c r="AC84"/>
      <c r="AD84"/>
      <c r="AE84"/>
      <c r="AF84"/>
      <c r="AG84"/>
      <c r="AH84"/>
      <c r="AI84"/>
      <c r="AJ84" s="176"/>
      <c r="AK84" s="176"/>
      <c r="AL84" s="176"/>
      <c r="AM84" s="176"/>
      <c r="AN84" s="176"/>
      <c r="AO84" s="176"/>
      <c r="AP84" s="176"/>
      <c r="AQ84" s="176"/>
      <c r="AR84" s="176"/>
      <c r="AS84" s="176"/>
      <c r="AT84" s="176"/>
      <c r="AU84" s="176"/>
      <c r="AV84" s="176"/>
      <c r="AW84" s="176"/>
      <c r="AX84" s="176"/>
      <c r="AY84" s="176"/>
      <c r="AZ84" s="176"/>
      <c r="BA84" s="176"/>
      <c r="BB84" s="176"/>
      <c r="BC84" s="176"/>
      <c r="BD84" s="176"/>
      <c r="BE84" s="176"/>
      <c r="BF84" s="176"/>
      <c r="BG84" s="176"/>
      <c r="BH84" s="176"/>
      <c r="BI84" s="176"/>
      <c r="BJ84" s="176"/>
      <c r="BK84" s="176"/>
      <c r="BL84" s="176"/>
      <c r="BM84" s="176"/>
      <c r="BN84" s="176"/>
      <c r="BO84" s="176"/>
      <c r="BP84" s="176"/>
      <c r="BQ84" s="176"/>
      <c r="BR84" s="176"/>
      <c r="BS84" s="176"/>
      <c r="BT84" s="176"/>
      <c r="BU84" s="176"/>
      <c r="BV84" s="176"/>
      <c r="BW84" s="176"/>
      <c r="BX84" s="176"/>
      <c r="BY84" s="176"/>
      <c r="BZ84" s="176"/>
      <c r="CA84" s="176"/>
      <c r="CB84" s="176"/>
      <c r="CC84" s="176"/>
      <c r="CD84" s="176"/>
      <c r="CE84" s="176"/>
      <c r="CF84" s="176"/>
      <c r="CG84" s="176"/>
      <c r="CH84" s="176"/>
      <c r="CI84" s="176"/>
      <c r="CJ84" s="176"/>
      <c r="CK84" s="176"/>
      <c r="CL84" s="176"/>
    </row>
    <row r="85" spans="1:90" ht="15">
      <c r="A85" s="90">
        <v>81</v>
      </c>
      <c r="B85" s="352" t="s">
        <v>1392</v>
      </c>
      <c r="C85" s="19">
        <v>4931488.2753547123</v>
      </c>
      <c r="D85" s="19">
        <v>3853191.9146612836</v>
      </c>
      <c r="E85" s="19">
        <f t="shared" ref="E85:G85" si="23">SUM(E8,E11,E13:E14,E17:E18,E22,E24,E26,E30,E35,E37,E39:E40,E44,E46:E49,E53:E54,E56:E57,E61,E63,E68,E77:E78,E80:E82)</f>
        <v>311</v>
      </c>
      <c r="F85" s="19">
        <f t="shared" si="23"/>
        <v>18839</v>
      </c>
      <c r="G85" s="19">
        <f t="shared" si="23"/>
        <v>54348.797155657332</v>
      </c>
      <c r="H85" s="19">
        <f>SUM(H8,H11,H13:H14,H17:H18,H22,H24,H26,H30,H35,H37,H39:H40,H44,H46:H49,H53:H54,H56:H57,H61,H63,H68,H77:H78,H80:H82)</f>
        <v>2102.4678386000001</v>
      </c>
      <c r="I85" s="19">
        <f t="shared" ref="I85" si="24">SUM(I8,I11,I13:I14,I17:I18,I22,I24,I26,I30,I35,I37,I39:I40,I44,I46:I49,I53:I54,I56:I57,I61,I63,I68,I77:I78,I80:I82)</f>
        <v>2112.4979888999997</v>
      </c>
      <c r="J85" s="349" t="s">
        <v>1388</v>
      </c>
      <c r="K85" s="349" t="s">
        <v>1388</v>
      </c>
      <c r="L85" s="349" t="s">
        <v>1388</v>
      </c>
      <c r="M85" s="350">
        <f t="shared" si="14"/>
        <v>4.8891932759222687</v>
      </c>
      <c r="N85" s="349" t="s">
        <v>1388</v>
      </c>
      <c r="O85" s="349" t="s">
        <v>1388</v>
      </c>
      <c r="P85" s="349">
        <f t="shared" si="17"/>
        <v>545.64316679897797</v>
      </c>
      <c r="Q85" s="349" t="s">
        <v>1388</v>
      </c>
      <c r="R85" s="351">
        <f t="shared" si="19"/>
        <v>-0.47480046621120864</v>
      </c>
      <c r="S85" s="351">
        <f t="shared" si="20"/>
        <v>-1.7695775633550328</v>
      </c>
      <c r="T85" s="349" t="s">
        <v>1388</v>
      </c>
    </row>
    <row r="87" spans="1:90">
      <c r="C87" s="166"/>
      <c r="D87" s="166"/>
      <c r="E87" s="166"/>
      <c r="F87" s="166"/>
      <c r="G87" s="166"/>
      <c r="H87" s="166"/>
      <c r="I87" s="166"/>
      <c r="J87" s="166"/>
      <c r="K87" s="166"/>
      <c r="L87" s="166"/>
      <c r="M87" s="166"/>
      <c r="N87" s="166"/>
      <c r="O87" s="166"/>
      <c r="P87" s="166"/>
      <c r="Q87" s="166"/>
      <c r="R87" s="166"/>
      <c r="S87" s="166"/>
      <c r="T87" s="166"/>
    </row>
    <row r="88" spans="1:90">
      <c r="C88" s="166"/>
    </row>
    <row r="90" spans="1:90" ht="24" customHeight="1">
      <c r="B90" s="179"/>
    </row>
    <row r="91" spans="1:90">
      <c r="C91" s="180" t="s">
        <v>13</v>
      </c>
      <c r="D91" s="180" t="s">
        <v>16</v>
      </c>
      <c r="E91" s="180" t="s">
        <v>18</v>
      </c>
      <c r="F91" s="180" t="s">
        <v>19</v>
      </c>
      <c r="G91" s="180" t="s">
        <v>22</v>
      </c>
      <c r="H91" s="180" t="s">
        <v>23</v>
      </c>
      <c r="I91" s="180" t="s">
        <v>43</v>
      </c>
      <c r="J91" s="180" t="s">
        <v>45</v>
      </c>
      <c r="K91" s="180" t="s">
        <v>47</v>
      </c>
      <c r="L91" s="180" t="s">
        <v>51</v>
      </c>
      <c r="M91" s="180" t="s">
        <v>56</v>
      </c>
      <c r="N91" s="180" t="s">
        <v>58</v>
      </c>
      <c r="O91" s="180" t="s">
        <v>60</v>
      </c>
      <c r="P91" s="180" t="s">
        <v>61</v>
      </c>
      <c r="Q91" s="180" t="s">
        <v>65</v>
      </c>
      <c r="R91" s="180" t="s">
        <v>67</v>
      </c>
      <c r="S91" s="180" t="s">
        <v>68</v>
      </c>
      <c r="T91" s="180" t="s">
        <v>69</v>
      </c>
      <c r="U91" s="180" t="s">
        <v>70</v>
      </c>
      <c r="V91" s="180" t="s">
        <v>151</v>
      </c>
      <c r="W91" s="226" t="s">
        <v>152</v>
      </c>
      <c r="X91" s="180" t="s">
        <v>154</v>
      </c>
      <c r="Y91" s="226" t="s">
        <v>155</v>
      </c>
      <c r="Z91" s="180" t="s">
        <v>82</v>
      </c>
      <c r="AA91" s="180" t="s">
        <v>84</v>
      </c>
      <c r="AB91" s="180" t="s">
        <v>89</v>
      </c>
      <c r="AC91" s="180" t="s">
        <v>173</v>
      </c>
      <c r="AD91" s="180" t="s">
        <v>98</v>
      </c>
      <c r="AE91" s="180" t="s">
        <v>100</v>
      </c>
      <c r="AF91" s="180" t="s">
        <v>176</v>
      </c>
      <c r="AG91" s="180" t="s">
        <v>101</v>
      </c>
    </row>
    <row r="92" spans="1:90" ht="23.25" customHeight="1">
      <c r="B92" s="181" t="str">
        <f>E4</f>
        <v>Venues 2019</v>
      </c>
      <c r="C92" s="182">
        <f>$E$8</f>
        <v>9</v>
      </c>
      <c r="D92" s="182">
        <f>$E$11</f>
        <v>5</v>
      </c>
      <c r="E92" s="182">
        <f>$E$13</f>
        <v>4</v>
      </c>
      <c r="F92" s="182">
        <f>$E$14</f>
        <v>15</v>
      </c>
      <c r="G92" s="182">
        <f>$E$17</f>
        <v>5</v>
      </c>
      <c r="H92" s="182">
        <f>$E$18</f>
        <v>13</v>
      </c>
      <c r="I92" s="182">
        <f>$E$22</f>
        <v>12</v>
      </c>
      <c r="J92" s="182">
        <f>$E$24</f>
        <v>9</v>
      </c>
      <c r="K92" s="182">
        <f>$E$26</f>
        <v>11</v>
      </c>
      <c r="L92" s="182">
        <f>$E$30</f>
        <v>15</v>
      </c>
      <c r="M92" s="182">
        <f>$E$35</f>
        <v>9</v>
      </c>
      <c r="N92" s="182">
        <f>$E$37</f>
        <v>14</v>
      </c>
      <c r="O92" s="182">
        <f>$E$39</f>
        <v>16</v>
      </c>
      <c r="P92" s="182">
        <f>$E$40</f>
        <v>11</v>
      </c>
      <c r="Q92" s="182">
        <f>$E$44</f>
        <v>7</v>
      </c>
      <c r="R92" s="182">
        <f>$E$46</f>
        <v>9</v>
      </c>
      <c r="S92" s="182">
        <f>$E$47</f>
        <v>10</v>
      </c>
      <c r="T92" s="182">
        <f>$E$48</f>
        <v>10</v>
      </c>
      <c r="U92" s="182">
        <v>7</v>
      </c>
      <c r="V92" s="182">
        <f>$E$53</f>
        <v>15</v>
      </c>
      <c r="W92" s="182">
        <f>$E$54</f>
        <v>11</v>
      </c>
      <c r="X92" s="182">
        <f>$E$56</f>
        <v>12</v>
      </c>
      <c r="Y92" s="182">
        <f>$E$57</f>
        <v>17</v>
      </c>
      <c r="Z92" s="182">
        <f>$E$61</f>
        <v>2</v>
      </c>
      <c r="AA92" s="182">
        <f>$E$63</f>
        <v>10</v>
      </c>
      <c r="AB92" s="182">
        <f>$E$68</f>
        <v>7</v>
      </c>
      <c r="AC92" s="182">
        <f>$E$77</f>
        <v>6</v>
      </c>
      <c r="AD92" s="182">
        <f>$E$78</f>
        <v>10</v>
      </c>
      <c r="AE92" s="182">
        <f>$E$80</f>
        <v>13</v>
      </c>
      <c r="AF92" s="182">
        <f>$E$81</f>
        <v>8</v>
      </c>
      <c r="AG92" s="182">
        <f>$E$82</f>
        <v>9</v>
      </c>
    </row>
    <row r="93" spans="1:90" ht="23.25" customHeight="1">
      <c r="B93" s="181" t="str">
        <f>F4</f>
        <v>EGMs 2019</v>
      </c>
      <c r="C93" s="182">
        <f>$F$8</f>
        <v>635</v>
      </c>
      <c r="D93" s="182">
        <f>$F$11</f>
        <v>208</v>
      </c>
      <c r="E93" s="182">
        <f>$F$13</f>
        <v>162</v>
      </c>
      <c r="F93" s="182">
        <f>$F$14</f>
        <v>952</v>
      </c>
      <c r="G93" s="182">
        <f>$F$17</f>
        <v>325</v>
      </c>
      <c r="H93" s="182">
        <f>$F$18</f>
        <v>913</v>
      </c>
      <c r="I93" s="182">
        <f>$F$22</f>
        <v>744</v>
      </c>
      <c r="J93" s="182">
        <f>$F$24</f>
        <v>519</v>
      </c>
      <c r="K93" s="182">
        <f>$F$26</f>
        <v>780</v>
      </c>
      <c r="L93" s="182">
        <f>$F$30</f>
        <v>957</v>
      </c>
      <c r="M93" s="182">
        <f>$F$35</f>
        <v>535</v>
      </c>
      <c r="N93" s="182">
        <f>$F$37</f>
        <v>833</v>
      </c>
      <c r="O93" s="182">
        <f>$F$39</f>
        <v>902</v>
      </c>
      <c r="P93" s="182">
        <f>$F$40</f>
        <v>767</v>
      </c>
      <c r="Q93" s="182">
        <f>$F$44</f>
        <v>522</v>
      </c>
      <c r="R93" s="182">
        <f>$F$46</f>
        <v>471</v>
      </c>
      <c r="S93" s="182">
        <f>$F$47</f>
        <v>759</v>
      </c>
      <c r="T93" s="182">
        <f>$F$48</f>
        <v>702</v>
      </c>
      <c r="U93" s="182">
        <v>515</v>
      </c>
      <c r="V93" s="182">
        <f>$F$53</f>
        <v>955</v>
      </c>
      <c r="W93" s="182">
        <f>$F$54</f>
        <v>745</v>
      </c>
      <c r="X93" s="182">
        <f>$F$56</f>
        <v>641</v>
      </c>
      <c r="Y93" s="182">
        <f>$F$57</f>
        <v>825</v>
      </c>
      <c r="Z93" s="182">
        <f>$F$61</f>
        <v>90</v>
      </c>
      <c r="AA93" s="182">
        <f>$F$63</f>
        <v>377</v>
      </c>
      <c r="AB93" s="182">
        <f>$F$68</f>
        <v>244</v>
      </c>
      <c r="AC93" s="182">
        <f>$F$77</f>
        <v>431</v>
      </c>
      <c r="AD93" s="182">
        <f>$F$78</f>
        <v>691</v>
      </c>
      <c r="AE93" s="182">
        <f>$F$80</f>
        <v>903</v>
      </c>
      <c r="AF93" s="182">
        <f>$F$81</f>
        <v>308</v>
      </c>
      <c r="AG93" s="182">
        <f>$F$82</f>
        <v>428</v>
      </c>
    </row>
    <row r="94" spans="1:90" ht="23.25" customHeight="1">
      <c r="B94" s="181"/>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2"/>
      <c r="AG94" s="182"/>
    </row>
    <row r="95" spans="1:90" ht="23.25" customHeight="1">
      <c r="B95" s="181" t="str">
        <f>H4</f>
        <v>Losses 18/19 ($Million)</v>
      </c>
      <c r="C95" s="182">
        <f>$H$8</f>
        <v>57.758108749999998</v>
      </c>
      <c r="D95" s="182">
        <f>$H$11</f>
        <v>13.80786964</v>
      </c>
      <c r="E95" s="182">
        <f>$H$13</f>
        <v>20.450974239999997</v>
      </c>
      <c r="F95" s="182">
        <f>$H$14</f>
        <v>142.90424784000001</v>
      </c>
      <c r="G95" s="182">
        <f>$H$17</f>
        <v>28.545146739999996</v>
      </c>
      <c r="H95" s="182">
        <f>$H$18</f>
        <v>132.36062196</v>
      </c>
      <c r="I95" s="182">
        <f>$H$22</f>
        <v>81.57611009</v>
      </c>
      <c r="J95" s="182">
        <f>$H$24</f>
        <v>62.253454899999994</v>
      </c>
      <c r="K95" s="182">
        <f>$H$26</f>
        <v>74.244676720000001</v>
      </c>
      <c r="L95" s="182">
        <f>$H$30</f>
        <v>119.31187792999999</v>
      </c>
      <c r="M95" s="182">
        <f>$H$35</f>
        <v>47.042973650000008</v>
      </c>
      <c r="N95" s="182">
        <f>$H$37</f>
        <v>111.69589407999999</v>
      </c>
      <c r="O95" s="182">
        <f>$H$39</f>
        <v>85.701350430000005</v>
      </c>
      <c r="P95" s="182">
        <f>$H$40</f>
        <v>73.890071239999997</v>
      </c>
      <c r="Q95" s="182">
        <f>$H$44</f>
        <v>56.358630189999992</v>
      </c>
      <c r="R95" s="182">
        <f>$H$46</f>
        <v>57.257924750000001</v>
      </c>
      <c r="S95" s="182">
        <f>$H$47</f>
        <v>62.861488650000005</v>
      </c>
      <c r="T95" s="182">
        <f>$H$48</f>
        <v>84.505931590000003</v>
      </c>
      <c r="U95" s="182">
        <v>67.781774819999995</v>
      </c>
      <c r="V95" s="182">
        <f>$H$53</f>
        <v>110.20989494</v>
      </c>
      <c r="W95" s="182">
        <f>$H$54</f>
        <v>77.65075856</v>
      </c>
      <c r="X95" s="182">
        <f>$H$56</f>
        <v>63.6</v>
      </c>
      <c r="Y95" s="182">
        <f>$H$57</f>
        <v>83.35756714999998</v>
      </c>
      <c r="Z95" s="182">
        <f>$H$61</f>
        <v>9.8500882300000008</v>
      </c>
      <c r="AA95" s="182">
        <f>$H$63</f>
        <v>28.426650629999997</v>
      </c>
      <c r="AB95" s="182">
        <f>$H$68</f>
        <v>19.862345299999998</v>
      </c>
      <c r="AC95" s="182">
        <f>$H$77</f>
        <v>52.795623890000002</v>
      </c>
      <c r="AD95" s="182">
        <f>$H$78</f>
        <v>110.85616775999999</v>
      </c>
      <c r="AE95" s="182">
        <f>$H$80</f>
        <v>106.05710217999999</v>
      </c>
      <c r="AF95" s="182">
        <f>$H$81</f>
        <v>30.265707479999996</v>
      </c>
      <c r="AG95" s="182">
        <f>$H$82</f>
        <v>29.226804269999995</v>
      </c>
    </row>
    <row r="96" spans="1:90" ht="23.25" customHeight="1">
      <c r="B96" s="181" t="str">
        <f>M4</f>
        <v>EGMs per 1,000 adults:
 2019</v>
      </c>
      <c r="C96" s="182">
        <f>$M$8</f>
        <v>6.2280345259373338</v>
      </c>
      <c r="D96" s="182">
        <f>$M$11</f>
        <v>2.5232051493551162</v>
      </c>
      <c r="E96" s="182">
        <f>$M$13</f>
        <v>1.1295712188248062</v>
      </c>
      <c r="F96" s="182">
        <f>$M$14</f>
        <v>5.8559981434868504</v>
      </c>
      <c r="G96" s="182">
        <f>$M$17</f>
        <v>4.0479264652097235</v>
      </c>
      <c r="H96" s="182">
        <f>$M$18</f>
        <v>3.6112217335486712</v>
      </c>
      <c r="I96" s="182">
        <f>$M$22</f>
        <v>5.6585699900886093</v>
      </c>
      <c r="J96" s="182">
        <f>$M$24</f>
        <v>4.6823202644810804</v>
      </c>
      <c r="K96" s="182">
        <f>$M$26</f>
        <v>6.4791921470276508</v>
      </c>
      <c r="L96" s="182">
        <f>$M$30</f>
        <v>7.2967805743495076</v>
      </c>
      <c r="M96" s="182">
        <f>$M$35</f>
        <v>7.106838458279654</v>
      </c>
      <c r="N96" s="182">
        <f>$M$37</f>
        <v>4.950281392376942</v>
      </c>
      <c r="O96" s="182">
        <f>$M$39</f>
        <v>6.9796939637559596</v>
      </c>
      <c r="P96" s="182">
        <f>$M$40</f>
        <v>5.9757721663055312</v>
      </c>
      <c r="Q96" s="182">
        <f>$M$44</f>
        <v>5.1469294140022575</v>
      </c>
      <c r="R96" s="182">
        <f>$M$46</f>
        <v>6.1914287087662609</v>
      </c>
      <c r="S96" s="182">
        <f>$M$47</f>
        <v>8.2776204943203027</v>
      </c>
      <c r="T96" s="182">
        <f>$M$48</f>
        <v>4.5418221918340356</v>
      </c>
      <c r="U96" s="182">
        <v>4.3762672532631921</v>
      </c>
      <c r="V96" s="182">
        <f>$M$53</f>
        <v>5.9435832247171412</v>
      </c>
      <c r="W96" s="182">
        <f>$M$54</f>
        <v>7.2380292059394868</v>
      </c>
      <c r="X96" s="182">
        <f>$M$56</f>
        <v>4.3212452537451611</v>
      </c>
      <c r="Y96" s="182">
        <f>$M$57</f>
        <v>6.2489126980740561</v>
      </c>
      <c r="Z96" s="182">
        <f>$M$61</f>
        <v>1.8224909307781372</v>
      </c>
      <c r="AA96" s="182">
        <f>$M$63</f>
        <v>3.8100590180571889</v>
      </c>
      <c r="AB96" s="182">
        <f>$M$68</f>
        <v>2.4655376020203237</v>
      </c>
      <c r="AC96" s="182">
        <f>$M$77</f>
        <v>3.0770545441798691</v>
      </c>
      <c r="AD96" s="182">
        <f>$M$78</f>
        <v>4.0833831787067147</v>
      </c>
      <c r="AE96" s="182">
        <f>$M$80</f>
        <v>4.8087988967636566</v>
      </c>
      <c r="AF96" s="182">
        <f>$M$81</f>
        <v>3.5888944138209369</v>
      </c>
      <c r="AG96" s="182">
        <f>$M$82</f>
        <v>3.5105959837504708</v>
      </c>
    </row>
    <row r="97" spans="2:33" ht="23.25" customHeight="1">
      <c r="B97" s="181" t="str">
        <f>P4</f>
        <v>Losses per adult: 2018/19</v>
      </c>
      <c r="C97" s="182">
        <f>$P$8</f>
        <v>566.48739440605232</v>
      </c>
      <c r="D97" s="182">
        <f>$P$11</f>
        <v>167.5004220061162</v>
      </c>
      <c r="E97" s="182">
        <f>$P$13</f>
        <v>142.59772776809572</v>
      </c>
      <c r="F97" s="182">
        <f>$P$14</f>
        <v>879.04097694057225</v>
      </c>
      <c r="G97" s="182">
        <f>$P$17</f>
        <v>355.5343228988956</v>
      </c>
      <c r="H97" s="182">
        <f>$P$18</f>
        <v>523.5307280262557</v>
      </c>
      <c r="I97" s="182">
        <f>$P$22</f>
        <v>620.43565653687995</v>
      </c>
      <c r="J97" s="182">
        <f>$P$24</f>
        <v>561.63894684437184</v>
      </c>
      <c r="K97" s="182">
        <f>$P$26</f>
        <v>616.72503379850082</v>
      </c>
      <c r="L97" s="182">
        <f>$P$30</f>
        <v>909.71012870301331</v>
      </c>
      <c r="M97" s="182">
        <f>$P$35</f>
        <v>624.90993332272228</v>
      </c>
      <c r="N97" s="182">
        <f>$P$37</f>
        <v>663.77683801816295</v>
      </c>
      <c r="O97" s="182">
        <f>$P$39</f>
        <v>663.15875641020534</v>
      </c>
      <c r="P97" s="182">
        <f>$P$40</f>
        <v>575.68478628725529</v>
      </c>
      <c r="Q97" s="182">
        <f>$P$44</f>
        <v>555.69711007238811</v>
      </c>
      <c r="R97" s="182">
        <f>$P$46</f>
        <v>752.67167537479452</v>
      </c>
      <c r="S97" s="182">
        <f>$P$47</f>
        <v>685.56462022756671</v>
      </c>
      <c r="T97" s="182">
        <f>$P$48</f>
        <v>546.73919577930337</v>
      </c>
      <c r="U97" s="182">
        <v>575.98283788898175</v>
      </c>
      <c r="V97" s="182">
        <f>$P$53</f>
        <v>685.90752121803405</v>
      </c>
      <c r="W97" s="182">
        <f>$P$54</f>
        <v>754.414038014276</v>
      </c>
      <c r="X97" s="182">
        <f>$P$56</f>
        <v>428.75381924834983</v>
      </c>
      <c r="Y97" s="182">
        <f>$P$57</f>
        <v>631.38686041720678</v>
      </c>
      <c r="Z97" s="182">
        <f>$P$61</f>
        <v>199.46329407266086</v>
      </c>
      <c r="AA97" s="182">
        <f>$P$63</f>
        <v>287.2870466471951</v>
      </c>
      <c r="AB97" s="182">
        <f>$P$68</f>
        <v>200.70229180926901</v>
      </c>
      <c r="AC97" s="182">
        <f>$P$77</f>
        <v>376.92578747920129</v>
      </c>
      <c r="AD97" s="182">
        <f>$P$78</f>
        <v>655.09147711588071</v>
      </c>
      <c r="AE97" s="182">
        <f>$P$80</f>
        <v>564.79211069450093</v>
      </c>
      <c r="AF97" s="182">
        <f>$P$81</f>
        <v>352.66372891334589</v>
      </c>
      <c r="AG97" s="182">
        <f>$P$82</f>
        <v>239.7278076825306</v>
      </c>
    </row>
    <row r="98" spans="2:33" ht="22.5">
      <c r="B98" s="181" t="str">
        <f>R4</f>
        <v>Per cent change in losses: 
 2017/18 to 2018/19</v>
      </c>
      <c r="C98" s="182">
        <f>$R$8</f>
        <v>-1.3304395147893324</v>
      </c>
      <c r="D98" s="182">
        <f>$R$11</f>
        <v>-10.214145044209493</v>
      </c>
      <c r="E98" s="182">
        <f>$R$13</f>
        <v>0.61605060128118194</v>
      </c>
      <c r="F98" s="182">
        <f>$R$14</f>
        <v>2.4350155960363171</v>
      </c>
      <c r="G98" s="182">
        <f>$R$17</f>
        <v>-1.7273884583853372</v>
      </c>
      <c r="H98" s="182">
        <f>$R$18</f>
        <v>0.6436167982021942</v>
      </c>
      <c r="I98" s="182">
        <f>$R$22</f>
        <v>-0.67393188096283563</v>
      </c>
      <c r="J98" s="182">
        <f>$R$24</f>
        <v>-3.6656646625811451</v>
      </c>
      <c r="K98" s="182">
        <f>$R$26</f>
        <v>-3.7925801031558457</v>
      </c>
      <c r="L98" s="182">
        <f>$R$30</f>
        <v>-1.7362819851210469</v>
      </c>
      <c r="M98" s="182">
        <f>$R$35</f>
        <v>-0.83140523267825406</v>
      </c>
      <c r="N98" s="182">
        <f>$R$37</f>
        <v>1.8901818946600142</v>
      </c>
      <c r="O98" s="182">
        <f>$R$39</f>
        <v>-0.67166500275029484</v>
      </c>
      <c r="P98" s="182">
        <f>$R$40</f>
        <v>-2.5970962157789996</v>
      </c>
      <c r="Q98" s="182">
        <f>$R$44</f>
        <v>-3.4747706800206344</v>
      </c>
      <c r="R98" s="182">
        <f>$R$46</f>
        <v>4.2475439213692816</v>
      </c>
      <c r="S98" s="182">
        <f>$R$47</f>
        <v>-3.7731700799273509</v>
      </c>
      <c r="T98" s="182">
        <f>$R$48</f>
        <v>0.61104261150771777</v>
      </c>
      <c r="U98" s="182">
        <v>2.6172885891984476</v>
      </c>
      <c r="V98" s="182">
        <f>$R$53</f>
        <v>-1.5475746490917022</v>
      </c>
      <c r="W98" s="182">
        <f>$R$54</f>
        <v>-1.1940790254953966</v>
      </c>
      <c r="X98" s="182">
        <f>$R$56</f>
        <v>-0.88668572444482707</v>
      </c>
      <c r="Y98" s="182">
        <f>$R$57</f>
        <v>-0.76036097138344749</v>
      </c>
      <c r="Z98" s="182">
        <f>$R$61</f>
        <v>9.4702330436237112</v>
      </c>
      <c r="AA98" s="182">
        <f>$R$63</f>
        <v>3.3822394081940867</v>
      </c>
      <c r="AB98" s="182">
        <f>$R$68</f>
        <v>-4.7498702400193347</v>
      </c>
      <c r="AC98" s="182">
        <f>$R$77</f>
        <v>-1.5029689303543481</v>
      </c>
      <c r="AD98" s="182">
        <f>$R$78</f>
        <v>1.2591996667546048</v>
      </c>
      <c r="AE98" s="182">
        <f>$R$80</f>
        <v>0.5677406238469066</v>
      </c>
      <c r="AF98" s="182">
        <f>$R$81</f>
        <v>-2.6084276901986319</v>
      </c>
      <c r="AG98" s="182">
        <f>$R$82</f>
        <v>-0.25157184842109803</v>
      </c>
    </row>
    <row r="99" spans="2:33" ht="33.75">
      <c r="B99" s="181" t="str">
        <f>S4</f>
        <v>Per cent change in losses adjusted for inflation: 
 2017/18 to 2018/19</v>
      </c>
      <c r="C99" s="182">
        <f>$S$8</f>
        <v>-2.6140851412231192</v>
      </c>
      <c r="D99" s="182">
        <f>$S$11</f>
        <v>-11.38221774528223</v>
      </c>
      <c r="E99" s="182">
        <f>$S$13</f>
        <v>-0.69291796681875395</v>
      </c>
      <c r="F99" s="182">
        <f>$S$14</f>
        <v>1.1023831294790429</v>
      </c>
      <c r="G99" s="182">
        <f>$S$17</f>
        <v>-3.0058699615286391</v>
      </c>
      <c r="H99" s="182">
        <f>$S$18</f>
        <v>-0.66571039344830707</v>
      </c>
      <c r="I99" s="182">
        <f>$S$22</f>
        <v>-1.9661183699355707</v>
      </c>
      <c r="J99" s="182">
        <f>$S$24</f>
        <v>-4.9189300832760887</v>
      </c>
      <c r="K99" s="182">
        <f>$S$26</f>
        <v>-5.0441944123081965</v>
      </c>
      <c r="L99" s="182">
        <f>$S$30</f>
        <v>-3.0146477875696021</v>
      </c>
      <c r="M99" s="182">
        <f>$S$35</f>
        <v>-2.1215430657310193</v>
      </c>
      <c r="N99" s="182">
        <f>$S$37</f>
        <v>0.5646374641136912</v>
      </c>
      <c r="O99" s="182">
        <f>$S$39</f>
        <v>-1.9638809827665547</v>
      </c>
      <c r="P99" s="182">
        <f>$S$40</f>
        <v>-3.8642632207775409</v>
      </c>
      <c r="Q99" s="182">
        <f>$S$44</f>
        <v>-4.7305195436803906</v>
      </c>
      <c r="R99" s="182">
        <f>$S$46</f>
        <v>2.8913312944650853</v>
      </c>
      <c r="S99" s="182">
        <f>$S$47</f>
        <v>-5.0250369045596797</v>
      </c>
      <c r="T99" s="182">
        <f>$S$48</f>
        <v>-0.69786080494729863</v>
      </c>
      <c r="U99" s="182">
        <v>1.3647671940382275</v>
      </c>
      <c r="V99" s="182">
        <f>$S$53</f>
        <v>-2.8283954472388224</v>
      </c>
      <c r="W99" s="182">
        <f>$S$54</f>
        <v>-2.4794986392140261</v>
      </c>
      <c r="X99" s="182">
        <f>$S$56</f>
        <v>-2.1761043837105047</v>
      </c>
      <c r="Y99" s="182">
        <f>$S$57</f>
        <v>-2.0514230576186989</v>
      </c>
      <c r="Z99" s="182">
        <f>$S$61</f>
        <v>8.0460756319547091</v>
      </c>
      <c r="AA99" s="182">
        <f>$S$63</f>
        <v>2.0372839952513981</v>
      </c>
      <c r="AB99" s="182">
        <f>$S$68</f>
        <v>-5.9890306445290662</v>
      </c>
      <c r="AC99" s="182">
        <f>$S$77</f>
        <v>-2.7843700283982971</v>
      </c>
      <c r="AD99" s="182">
        <f>$S$78</f>
        <v>-5.8135975050519657E-2</v>
      </c>
      <c r="AE99" s="182">
        <f>$S$80</f>
        <v>-0.74059945365327617</v>
      </c>
      <c r="AF99" s="182">
        <f>$S$81</f>
        <v>-3.8754472779237137</v>
      </c>
      <c r="AG99" s="182">
        <f>$S$82</f>
        <v>-1.5492530472707771</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password="CF21" sheet="1" objects="1" scenarios="1"/>
  <phoneticPr fontId="5" type="noConversion"/>
  <pageMargins left="0.75" right="0.75" top="0.52" bottom="0.46" header="0.5" footer="0.5"/>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749992370372631"/>
    <pageSetUpPr fitToPage="1"/>
  </sheetPr>
  <dimension ref="A1:AA526"/>
  <sheetViews>
    <sheetView showGridLines="0" showRowColHeaders="0" zoomScale="110" zoomScaleNormal="110" workbookViewId="0">
      <pane xSplit="17" ySplit="5" topLeftCell="R6" activePane="bottomRight" state="frozen"/>
      <selection activeCell="B1" sqref="B1"/>
      <selection pane="topRight" activeCell="R1" sqref="R1"/>
      <selection pane="bottomLeft" activeCell="B6" sqref="B6"/>
      <selection pane="bottomRight" activeCell="N1" sqref="N1:O2"/>
    </sheetView>
  </sheetViews>
  <sheetFormatPr defaultRowHeight="12.75"/>
  <cols>
    <col min="1" max="1" width="3.42578125" hidden="1" customWidth="1"/>
    <col min="2" max="2" width="28.140625" customWidth="1"/>
    <col min="3" max="3" width="7.5703125" customWidth="1"/>
    <col min="4" max="4" width="14" customWidth="1"/>
    <col min="5" max="5" width="7.7109375" customWidth="1"/>
    <col min="6" max="7" width="9.42578125" customWidth="1"/>
    <col min="8" max="8" width="9.42578125" style="207" customWidth="1"/>
    <col min="9" max="10" width="9.42578125" customWidth="1"/>
    <col min="11" max="12" width="9.42578125" style="207" customWidth="1"/>
    <col min="13" max="14" width="9.42578125" customWidth="1"/>
    <col min="15" max="15" width="12.5703125" customWidth="1"/>
    <col min="16" max="16" width="11" customWidth="1"/>
    <col min="17" max="17" width="15.140625" customWidth="1"/>
    <col min="18" max="19" width="11" customWidth="1"/>
    <col min="20" max="20" width="8.7109375" customWidth="1"/>
    <col min="21" max="22" width="8" customWidth="1"/>
    <col min="23" max="23" width="11.85546875" customWidth="1"/>
    <col min="24" max="27" width="9.140625" style="268"/>
  </cols>
  <sheetData>
    <row r="1" spans="1:24" ht="28.5" customHeight="1">
      <c r="A1" s="93"/>
      <c r="B1" s="93"/>
      <c r="C1" s="93"/>
      <c r="D1" s="93"/>
      <c r="E1" s="94"/>
      <c r="F1" s="94"/>
      <c r="G1" s="94"/>
      <c r="H1" s="206"/>
      <c r="I1" s="94"/>
      <c r="J1" s="94"/>
      <c r="K1" s="208"/>
      <c r="L1" s="208"/>
      <c r="M1" s="93"/>
      <c r="N1" s="399" t="s">
        <v>1410</v>
      </c>
      <c r="O1" s="400"/>
    </row>
    <row r="2" spans="1:24" ht="12" customHeight="1" thickBot="1">
      <c r="A2" s="93"/>
      <c r="B2" s="95"/>
      <c r="C2" s="95"/>
      <c r="D2" s="95"/>
      <c r="E2" s="96"/>
      <c r="F2" s="96"/>
      <c r="G2" s="96"/>
      <c r="H2" s="414" t="s">
        <v>1284</v>
      </c>
      <c r="I2" s="414"/>
      <c r="J2" s="414"/>
      <c r="K2" s="414"/>
      <c r="L2" s="414"/>
      <c r="M2" s="414"/>
      <c r="N2" s="401"/>
      <c r="O2" s="402"/>
    </row>
    <row r="3" spans="1:24" ht="11.25" customHeight="1" thickTop="1">
      <c r="A3" s="93"/>
      <c r="B3" s="95"/>
      <c r="C3" s="95"/>
      <c r="D3" s="415" t="s">
        <v>1270</v>
      </c>
      <c r="E3" s="415"/>
      <c r="F3" s="376">
        <f>SUBTOTAL(9,F6:F503)/I4</f>
        <v>102452.95929881172</v>
      </c>
      <c r="G3" s="238"/>
      <c r="I3" s="97"/>
      <c r="J3" s="98"/>
      <c r="K3" s="209"/>
      <c r="L3" s="209"/>
      <c r="M3" s="98"/>
      <c r="N3" s="98"/>
      <c r="O3" s="164"/>
    </row>
    <row r="4" spans="1:24" ht="11.25" customHeight="1">
      <c r="A4" s="93"/>
      <c r="B4" s="95"/>
      <c r="C4" s="95"/>
      <c r="D4" s="387" t="s">
        <v>1528</v>
      </c>
      <c r="E4" s="375">
        <f>SUBTOTAL(3,E6:E503)</f>
        <v>497</v>
      </c>
      <c r="F4" s="376" t="str">
        <f>CONCATENATE("$",ROUNDUP(SUBTOTAL(9,F6:F503)/1000000,1)," M.")</f>
        <v>$2698.8 M.</v>
      </c>
      <c r="G4" s="375">
        <f>SUBTOTAL(9,G6:G503)</f>
        <v>26448</v>
      </c>
      <c r="H4" s="376" t="str">
        <f>CONCATENATE("$",ROUNDUP(SUBTOTAL(9,H6:H503)/1000000,1)," M.")</f>
        <v>$2694.5 M.</v>
      </c>
      <c r="I4" s="375">
        <f>SUBTOTAL(9,I6:I503)</f>
        <v>26341</v>
      </c>
      <c r="J4" s="376" t="str">
        <f>CONCATENATE("$",ROUNDUP(SUBTOTAL(9,J6:J503)/1000000,1)," M.")</f>
        <v>$2600.8 M.</v>
      </c>
      <c r="K4" s="376" t="str">
        <f>CONCATENATE("$",ROUNDUP(SUBTOTAL(9,K6:K503)/1000000,1)," M.")</f>
        <v>$0.1 M.</v>
      </c>
      <c r="L4" s="376" t="str">
        <f>CONCATENATE("$",ROUNDUP(SUBTOTAL(9,L6:L503)/1000000,1)," M.")</f>
        <v>$2592.1 M.</v>
      </c>
      <c r="M4" s="375" t="str">
        <f>CONCATENATE("$",ROUNDUP(SUBTOTAL(9,M6:M503)/1000000,2)," M.")</f>
        <v>$0.03 M.</v>
      </c>
      <c r="N4" s="375" t="str">
        <f>CONCATENATE("$",ROUNDUP(SUBTOTAL(9,N6:N503)/1000000,2)," M.")</f>
        <v>$2537.3 M.</v>
      </c>
      <c r="O4" s="375" t="str">
        <f t="shared" ref="O4:Q4" si="0">CONCATENATE("$",ROUNDUP(SUBTOTAL(9,O6:O503)/1000000,2)," M.")</f>
        <v>$2459.31 M.</v>
      </c>
      <c r="P4" s="375" t="str">
        <f t="shared" si="0"/>
        <v>$2442.64 M.</v>
      </c>
      <c r="Q4" s="375" t="str">
        <f t="shared" si="0"/>
        <v>$161.29 M.</v>
      </c>
    </row>
    <row r="5" spans="1:24" ht="26.25" customHeight="1">
      <c r="A5" s="93"/>
      <c r="B5" s="263" t="s">
        <v>1324</v>
      </c>
      <c r="C5" s="263" t="s">
        <v>1285</v>
      </c>
      <c r="D5" s="360" t="s">
        <v>1325</v>
      </c>
      <c r="E5" s="264" t="s">
        <v>1407</v>
      </c>
      <c r="F5" s="266" t="s">
        <v>1517</v>
      </c>
      <c r="G5" s="266" t="s">
        <v>1489</v>
      </c>
      <c r="H5" s="265" t="s">
        <v>1428</v>
      </c>
      <c r="I5" s="265" t="s">
        <v>1421</v>
      </c>
      <c r="J5" s="265" t="s">
        <v>1415</v>
      </c>
      <c r="K5" s="265" t="s">
        <v>1412</v>
      </c>
      <c r="L5" s="265" t="s">
        <v>1404</v>
      </c>
      <c r="M5" s="264" t="s">
        <v>1406</v>
      </c>
      <c r="N5" s="265" t="s">
        <v>1405</v>
      </c>
      <c r="O5" s="361" t="s">
        <v>1386</v>
      </c>
      <c r="P5" s="265" t="s">
        <v>1387</v>
      </c>
      <c r="Q5" s="265" t="s">
        <v>1521</v>
      </c>
    </row>
    <row r="6" spans="1:24" ht="12" customHeight="1">
      <c r="A6" s="93"/>
      <c r="B6" s="362" t="s">
        <v>203</v>
      </c>
      <c r="C6" s="363" t="s">
        <v>1272</v>
      </c>
      <c r="D6" s="363" t="s">
        <v>154</v>
      </c>
      <c r="E6" s="364" t="s">
        <v>1271</v>
      </c>
      <c r="F6" s="365">
        <v>2262950.3499999996</v>
      </c>
      <c r="G6" s="364">
        <v>55</v>
      </c>
      <c r="H6" s="365">
        <v>2356797.6800000002</v>
      </c>
      <c r="I6" s="364">
        <v>55</v>
      </c>
      <c r="J6" s="366">
        <v>2124506.11</v>
      </c>
      <c r="K6" s="367">
        <v>55</v>
      </c>
      <c r="L6" s="368">
        <v>2057646.98</v>
      </c>
      <c r="M6" s="366">
        <v>54</v>
      </c>
      <c r="N6" s="366">
        <v>1806755.3399999999</v>
      </c>
      <c r="O6" s="366">
        <v>1835802.81</v>
      </c>
      <c r="P6" s="362">
        <v>1655224.34</v>
      </c>
      <c r="Q6" s="363">
        <v>456195.00999999978</v>
      </c>
    </row>
    <row r="7" spans="1:24" ht="12" customHeight="1">
      <c r="A7" s="93"/>
      <c r="B7" s="369" t="s">
        <v>205</v>
      </c>
      <c r="C7" s="369" t="s">
        <v>1272</v>
      </c>
      <c r="D7" s="369" t="s">
        <v>128</v>
      </c>
      <c r="E7" s="370" t="s">
        <v>1271</v>
      </c>
      <c r="F7" s="377">
        <v>3524089.1100000003</v>
      </c>
      <c r="G7" s="378">
        <v>77</v>
      </c>
      <c r="H7" s="371">
        <v>3549722.84</v>
      </c>
      <c r="I7" s="370">
        <v>77</v>
      </c>
      <c r="J7" s="372">
        <v>3102395.96</v>
      </c>
      <c r="K7" s="373">
        <v>77</v>
      </c>
      <c r="L7" s="374">
        <v>3579561.19</v>
      </c>
      <c r="M7" s="372">
        <v>77</v>
      </c>
      <c r="N7" s="372">
        <v>3599269.1100000003</v>
      </c>
      <c r="O7" s="372">
        <v>3499636.99</v>
      </c>
      <c r="P7" s="369">
        <v>3857032.7</v>
      </c>
      <c r="Q7" s="369">
        <v>-75180</v>
      </c>
    </row>
    <row r="8" spans="1:24" ht="12" customHeight="1">
      <c r="A8" s="93"/>
      <c r="B8" s="362" t="s">
        <v>207</v>
      </c>
      <c r="C8" s="363" t="s">
        <v>1272</v>
      </c>
      <c r="D8" s="363" t="s">
        <v>120</v>
      </c>
      <c r="E8" s="364" t="s">
        <v>1273</v>
      </c>
      <c r="F8" s="365">
        <v>5619528.2199999997</v>
      </c>
      <c r="G8" s="364">
        <v>50</v>
      </c>
      <c r="H8" s="365">
        <v>6033007.3700000001</v>
      </c>
      <c r="I8" s="364">
        <v>50</v>
      </c>
      <c r="J8" s="366">
        <v>5641319.7400000002</v>
      </c>
      <c r="K8" s="367">
        <v>50</v>
      </c>
      <c r="L8" s="368">
        <v>5615818.21</v>
      </c>
      <c r="M8" s="366">
        <v>50</v>
      </c>
      <c r="N8" s="366">
        <v>5604650.5999999996</v>
      </c>
      <c r="O8" s="366">
        <v>5168492.1099999994</v>
      </c>
      <c r="P8" s="362">
        <v>5469845.7000000002</v>
      </c>
      <c r="Q8" s="363">
        <v>14877.620000000112</v>
      </c>
      <c r="X8" s="173"/>
    </row>
    <row r="9" spans="1:24" ht="12" customHeight="1">
      <c r="A9" s="93"/>
      <c r="B9" s="369" t="s">
        <v>209</v>
      </c>
      <c r="C9" s="369" t="s">
        <v>1272</v>
      </c>
      <c r="D9" s="369" t="s">
        <v>128</v>
      </c>
      <c r="E9" s="370" t="s">
        <v>1273</v>
      </c>
      <c r="F9" s="377">
        <v>2590962.73</v>
      </c>
      <c r="G9" s="378">
        <v>24</v>
      </c>
      <c r="H9" s="371">
        <v>2698954.42</v>
      </c>
      <c r="I9" s="370">
        <v>24</v>
      </c>
      <c r="J9" s="372">
        <v>2531473.56</v>
      </c>
      <c r="K9" s="373">
        <v>24</v>
      </c>
      <c r="L9" s="374">
        <v>2588364.91</v>
      </c>
      <c r="M9" s="372">
        <v>24</v>
      </c>
      <c r="N9" s="372">
        <v>2651533.4900000002</v>
      </c>
      <c r="O9" s="372">
        <v>2634386.4299999997</v>
      </c>
      <c r="P9" s="369">
        <v>2402071.48</v>
      </c>
      <c r="Q9" s="369">
        <v>-60570.760000000242</v>
      </c>
      <c r="X9" s="173"/>
    </row>
    <row r="10" spans="1:24" ht="12" customHeight="1">
      <c r="A10" s="93"/>
      <c r="B10" s="362" t="s">
        <v>211</v>
      </c>
      <c r="C10" s="363" t="s">
        <v>1274</v>
      </c>
      <c r="D10" s="363" t="s">
        <v>35</v>
      </c>
      <c r="E10" s="364" t="s">
        <v>1271</v>
      </c>
      <c r="F10" s="365">
        <v>2505802.54</v>
      </c>
      <c r="G10" s="364">
        <v>35</v>
      </c>
      <c r="H10" s="365">
        <v>2436370.41</v>
      </c>
      <c r="I10" s="364">
        <v>35</v>
      </c>
      <c r="J10" s="366">
        <v>2499142.1</v>
      </c>
      <c r="K10" s="367">
        <v>35</v>
      </c>
      <c r="L10" s="368">
        <v>2305106.7000000002</v>
      </c>
      <c r="M10" s="366">
        <v>35</v>
      </c>
      <c r="N10" s="366">
        <v>2445176.0499999998</v>
      </c>
      <c r="O10" s="366">
        <v>2400629.6900000004</v>
      </c>
      <c r="P10" s="362">
        <v>2377474.81</v>
      </c>
      <c r="Q10" s="363">
        <v>60626.490000000224</v>
      </c>
      <c r="X10" s="173"/>
    </row>
    <row r="11" spans="1:24" ht="12" customHeight="1">
      <c r="A11" s="93"/>
      <c r="B11" s="369" t="s">
        <v>213</v>
      </c>
      <c r="C11" s="369" t="s">
        <v>1274</v>
      </c>
      <c r="D11" s="369" t="s">
        <v>127</v>
      </c>
      <c r="E11" s="370" t="s">
        <v>1273</v>
      </c>
      <c r="F11" s="377">
        <v>11399426.219999999</v>
      </c>
      <c r="G11" s="378">
        <v>100</v>
      </c>
      <c r="H11" s="371">
        <v>11063856.529999999</v>
      </c>
      <c r="I11" s="370">
        <v>100</v>
      </c>
      <c r="J11" s="372">
        <v>9938549.0800000001</v>
      </c>
      <c r="K11" s="373">
        <v>100</v>
      </c>
      <c r="L11" s="374">
        <v>9951215.9100000001</v>
      </c>
      <c r="M11" s="372">
        <v>100</v>
      </c>
      <c r="N11" s="372">
        <v>9660588.2899999991</v>
      </c>
      <c r="O11" s="372">
        <v>9399889.379999999</v>
      </c>
      <c r="P11" s="369">
        <v>9732087.120000001</v>
      </c>
      <c r="Q11" s="369">
        <v>1738837.9299999997</v>
      </c>
      <c r="X11" s="173"/>
    </row>
    <row r="12" spans="1:24" ht="12" customHeight="1">
      <c r="A12" s="93"/>
      <c r="B12" s="362" t="s">
        <v>217</v>
      </c>
      <c r="C12" s="363" t="s">
        <v>1272</v>
      </c>
      <c r="D12" s="363" t="s">
        <v>133</v>
      </c>
      <c r="E12" s="364" t="s">
        <v>1271</v>
      </c>
      <c r="F12" s="365">
        <v>1971208.15</v>
      </c>
      <c r="G12" s="364">
        <v>37</v>
      </c>
      <c r="H12" s="365">
        <v>1959377.27</v>
      </c>
      <c r="I12" s="364">
        <v>37</v>
      </c>
      <c r="J12" s="366">
        <v>2038397.97</v>
      </c>
      <c r="K12" s="367">
        <v>37</v>
      </c>
      <c r="L12" s="368">
        <v>2155486.48</v>
      </c>
      <c r="M12" s="366">
        <v>37</v>
      </c>
      <c r="N12" s="366">
        <v>2138229.19</v>
      </c>
      <c r="O12" s="366">
        <v>1987671.29</v>
      </c>
      <c r="P12" s="362">
        <v>2228481.83</v>
      </c>
      <c r="Q12" s="363">
        <v>-167021.04000000004</v>
      </c>
      <c r="X12" s="173"/>
    </row>
    <row r="13" spans="1:24" ht="12" customHeight="1">
      <c r="A13" s="93"/>
      <c r="B13" s="369" t="s">
        <v>219</v>
      </c>
      <c r="C13" s="369" t="s">
        <v>1272</v>
      </c>
      <c r="D13" s="369" t="s">
        <v>133</v>
      </c>
      <c r="E13" s="370" t="s">
        <v>1271</v>
      </c>
      <c r="F13" s="377">
        <v>3450157.5300000003</v>
      </c>
      <c r="G13" s="378">
        <v>58</v>
      </c>
      <c r="H13" s="371">
        <v>3586381.26</v>
      </c>
      <c r="I13" s="370">
        <v>58</v>
      </c>
      <c r="J13" s="372">
        <v>3720144.12</v>
      </c>
      <c r="K13" s="373">
        <v>58</v>
      </c>
      <c r="L13" s="374">
        <v>3466309.99</v>
      </c>
      <c r="M13" s="372">
        <v>58</v>
      </c>
      <c r="N13" s="372">
        <v>3270495.6</v>
      </c>
      <c r="O13" s="372">
        <v>3159364.4699999997</v>
      </c>
      <c r="P13" s="369">
        <v>3460526.76</v>
      </c>
      <c r="Q13" s="369">
        <v>179661.93000000017</v>
      </c>
      <c r="X13" s="173"/>
    </row>
    <row r="14" spans="1:24" ht="12" customHeight="1">
      <c r="A14" s="93"/>
      <c r="B14" s="362" t="s">
        <v>221</v>
      </c>
      <c r="C14" s="363" t="s">
        <v>1272</v>
      </c>
      <c r="D14" s="363" t="s">
        <v>133</v>
      </c>
      <c r="E14" s="364" t="s">
        <v>1271</v>
      </c>
      <c r="F14" s="365">
        <v>4628526.37</v>
      </c>
      <c r="G14" s="364">
        <v>83</v>
      </c>
      <c r="H14" s="365">
        <v>4775945.26</v>
      </c>
      <c r="I14" s="364">
        <v>83</v>
      </c>
      <c r="J14" s="366">
        <v>4430778.8100000005</v>
      </c>
      <c r="K14" s="367">
        <v>83</v>
      </c>
      <c r="L14" s="368">
        <v>4356314.99</v>
      </c>
      <c r="M14" s="366">
        <v>83</v>
      </c>
      <c r="N14" s="366">
        <v>3960246.66</v>
      </c>
      <c r="O14" s="366">
        <v>3856172.73</v>
      </c>
      <c r="P14" s="362">
        <v>3853373.73</v>
      </c>
      <c r="Q14" s="363">
        <v>668279.71</v>
      </c>
      <c r="X14" s="173"/>
    </row>
    <row r="15" spans="1:24" ht="12" customHeight="1">
      <c r="A15" s="93"/>
      <c r="B15" s="369" t="s">
        <v>223</v>
      </c>
      <c r="C15" s="369" t="s">
        <v>1274</v>
      </c>
      <c r="D15" s="369" t="s">
        <v>114</v>
      </c>
      <c r="E15" s="370" t="s">
        <v>1273</v>
      </c>
      <c r="F15" s="377">
        <v>1278392.2400000002</v>
      </c>
      <c r="G15" s="378">
        <v>42</v>
      </c>
      <c r="H15" s="371">
        <v>1220966.6800000002</v>
      </c>
      <c r="I15" s="370">
        <v>42</v>
      </c>
      <c r="J15" s="372">
        <v>1283710.8999999999</v>
      </c>
      <c r="K15" s="373">
        <v>42</v>
      </c>
      <c r="L15" s="374">
        <v>1138352.3</v>
      </c>
      <c r="M15" s="372">
        <v>42</v>
      </c>
      <c r="N15" s="372">
        <v>1061101.9300000002</v>
      </c>
      <c r="O15" s="372">
        <v>745671.13</v>
      </c>
      <c r="P15" s="369">
        <v>139396.48000000001</v>
      </c>
      <c r="Q15" s="369">
        <v>217290.31000000006</v>
      </c>
      <c r="X15" s="173"/>
    </row>
    <row r="16" spans="1:24" ht="12" customHeight="1">
      <c r="A16" s="93"/>
      <c r="B16" s="362" t="s">
        <v>224</v>
      </c>
      <c r="C16" s="363" t="s">
        <v>1272</v>
      </c>
      <c r="D16" s="363" t="s">
        <v>116</v>
      </c>
      <c r="E16" s="364" t="s">
        <v>1271</v>
      </c>
      <c r="F16" s="365">
        <v>6532595.7300000004</v>
      </c>
      <c r="G16" s="364">
        <v>80</v>
      </c>
      <c r="H16" s="365">
        <v>7248190.21</v>
      </c>
      <c r="I16" s="364">
        <v>80</v>
      </c>
      <c r="J16" s="366">
        <v>6852823.4500000002</v>
      </c>
      <c r="K16" s="367">
        <v>80</v>
      </c>
      <c r="L16" s="368">
        <v>6525242.1899999995</v>
      </c>
      <c r="M16" s="366">
        <v>80</v>
      </c>
      <c r="N16" s="366">
        <v>6404468.6999999993</v>
      </c>
      <c r="O16" s="366">
        <v>6004907.3900000006</v>
      </c>
      <c r="P16" s="362">
        <v>5923003.9100000001</v>
      </c>
      <c r="Q16" s="363">
        <v>128127.03000000119</v>
      </c>
      <c r="X16" s="173"/>
    </row>
    <row r="17" spans="1:24" ht="12" customHeight="1">
      <c r="A17" s="93"/>
      <c r="B17" s="369" t="s">
        <v>226</v>
      </c>
      <c r="C17" s="369" t="s">
        <v>1272</v>
      </c>
      <c r="D17" s="369" t="s">
        <v>166</v>
      </c>
      <c r="E17" s="370" t="s">
        <v>1273</v>
      </c>
      <c r="F17" s="377">
        <v>3653705.5300000003</v>
      </c>
      <c r="G17" s="378">
        <v>45</v>
      </c>
      <c r="H17" s="371">
        <v>3780421.44</v>
      </c>
      <c r="I17" s="370">
        <v>45</v>
      </c>
      <c r="J17" s="372">
        <v>4338441.3100000005</v>
      </c>
      <c r="K17" s="373">
        <v>45</v>
      </c>
      <c r="L17" s="374">
        <v>4529363.7699999996</v>
      </c>
      <c r="M17" s="372">
        <v>45</v>
      </c>
      <c r="N17" s="372">
        <v>4540934.5299999993</v>
      </c>
      <c r="O17" s="372">
        <v>4125998.98</v>
      </c>
      <c r="P17" s="369">
        <v>4144191.09</v>
      </c>
      <c r="Q17" s="369">
        <v>-887228.99999999907</v>
      </c>
      <c r="X17" s="173"/>
    </row>
    <row r="18" spans="1:24" ht="12" customHeight="1">
      <c r="A18" s="93"/>
      <c r="B18" s="362" t="s">
        <v>230</v>
      </c>
      <c r="C18" s="363" t="s">
        <v>1274</v>
      </c>
      <c r="D18" s="363" t="s">
        <v>168</v>
      </c>
      <c r="E18" s="364" t="s">
        <v>1271</v>
      </c>
      <c r="F18" s="365">
        <v>706619.67999999993</v>
      </c>
      <c r="G18" s="364">
        <v>34</v>
      </c>
      <c r="H18" s="365">
        <v>834140.23</v>
      </c>
      <c r="I18" s="364">
        <v>34</v>
      </c>
      <c r="J18" s="366">
        <v>746664.17999999993</v>
      </c>
      <c r="K18" s="367">
        <v>34</v>
      </c>
      <c r="L18" s="368">
        <v>797949.9</v>
      </c>
      <c r="M18" s="366">
        <v>34</v>
      </c>
      <c r="N18" s="366">
        <v>942212.87</v>
      </c>
      <c r="O18" s="366">
        <v>878730.65999999992</v>
      </c>
      <c r="P18" s="362">
        <v>937723.92</v>
      </c>
      <c r="Q18" s="363">
        <v>-235593.19000000006</v>
      </c>
      <c r="X18" s="173"/>
    </row>
    <row r="19" spans="1:24" ht="12" customHeight="1">
      <c r="A19" s="93"/>
      <c r="B19" s="369" t="s">
        <v>232</v>
      </c>
      <c r="C19" s="369" t="s">
        <v>1274</v>
      </c>
      <c r="D19" s="369" t="s">
        <v>190</v>
      </c>
      <c r="E19" s="370" t="s">
        <v>1271</v>
      </c>
      <c r="F19" s="377">
        <v>4078168.21</v>
      </c>
      <c r="G19" s="378">
        <v>55</v>
      </c>
      <c r="H19" s="371">
        <v>4043326.51</v>
      </c>
      <c r="I19" s="370">
        <v>55</v>
      </c>
      <c r="J19" s="372">
        <v>3755664.01</v>
      </c>
      <c r="K19" s="373">
        <v>55</v>
      </c>
      <c r="L19" s="374">
        <v>3715406.7199999997</v>
      </c>
      <c r="M19" s="372">
        <v>55</v>
      </c>
      <c r="N19" s="372">
        <v>3924714.4000000004</v>
      </c>
      <c r="O19" s="372">
        <v>4086594.27</v>
      </c>
      <c r="P19" s="369">
        <v>3766057.84</v>
      </c>
      <c r="Q19" s="369">
        <v>153453.80999999959</v>
      </c>
      <c r="X19" s="173"/>
    </row>
    <row r="20" spans="1:24" ht="12" customHeight="1">
      <c r="A20" s="93"/>
      <c r="B20" s="362" t="s">
        <v>234</v>
      </c>
      <c r="C20" s="363" t="s">
        <v>1272</v>
      </c>
      <c r="D20" s="363" t="s">
        <v>144</v>
      </c>
      <c r="E20" s="364" t="s">
        <v>1273</v>
      </c>
      <c r="F20" s="365">
        <v>9396491.2899999991</v>
      </c>
      <c r="G20" s="364">
        <v>50</v>
      </c>
      <c r="H20" s="365">
        <v>9274619.1699999999</v>
      </c>
      <c r="I20" s="364">
        <v>50</v>
      </c>
      <c r="J20" s="366">
        <v>9458592.3900000006</v>
      </c>
      <c r="K20" s="367">
        <v>46</v>
      </c>
      <c r="L20" s="368">
        <v>9744649.4200000018</v>
      </c>
      <c r="M20" s="366">
        <v>50</v>
      </c>
      <c r="N20" s="366">
        <v>9320119.0199999996</v>
      </c>
      <c r="O20" s="366">
        <v>9815908.3900000006</v>
      </c>
      <c r="P20" s="362">
        <v>9812571.4800000004</v>
      </c>
      <c r="Q20" s="363">
        <v>76372.269999999553</v>
      </c>
      <c r="X20" s="173"/>
    </row>
    <row r="21" spans="1:24" ht="12" customHeight="1">
      <c r="A21" s="93"/>
      <c r="B21" s="369" t="s">
        <v>238</v>
      </c>
      <c r="C21" s="369" t="s">
        <v>1274</v>
      </c>
      <c r="D21" s="369" t="s">
        <v>118</v>
      </c>
      <c r="E21" s="370" t="s">
        <v>1273</v>
      </c>
      <c r="F21" s="377">
        <v>2208402.77</v>
      </c>
      <c r="G21" s="378">
        <v>23</v>
      </c>
      <c r="H21" s="371">
        <v>1826895.19</v>
      </c>
      <c r="I21" s="370">
        <v>23</v>
      </c>
      <c r="J21" s="372">
        <v>1888188.8199999998</v>
      </c>
      <c r="K21" s="373">
        <v>23</v>
      </c>
      <c r="L21" s="374">
        <v>1741846.73</v>
      </c>
      <c r="M21" s="372">
        <v>23</v>
      </c>
      <c r="N21" s="372">
        <v>1799019.5</v>
      </c>
      <c r="O21" s="372">
        <v>1604419.0699999998</v>
      </c>
      <c r="P21" s="369">
        <v>1754207.35</v>
      </c>
      <c r="Q21" s="369">
        <v>409383.27</v>
      </c>
      <c r="X21" s="173"/>
    </row>
    <row r="22" spans="1:24" ht="12" customHeight="1">
      <c r="A22" s="93"/>
      <c r="B22" s="362" t="s">
        <v>242</v>
      </c>
      <c r="C22" s="363" t="s">
        <v>1274</v>
      </c>
      <c r="D22" s="363" t="s">
        <v>129</v>
      </c>
      <c r="E22" s="364" t="s">
        <v>1271</v>
      </c>
      <c r="F22" s="365">
        <v>3724714.54</v>
      </c>
      <c r="G22" s="364">
        <v>30</v>
      </c>
      <c r="H22" s="365">
        <v>3437954.7800000003</v>
      </c>
      <c r="I22" s="364">
        <v>30</v>
      </c>
      <c r="J22" s="366">
        <v>3371829.48</v>
      </c>
      <c r="K22" s="367">
        <v>30</v>
      </c>
      <c r="L22" s="368">
        <v>2981781.3</v>
      </c>
      <c r="M22" s="366">
        <v>30</v>
      </c>
      <c r="N22" s="366">
        <v>3217198.6</v>
      </c>
      <c r="O22" s="366">
        <v>3649726.1799999997</v>
      </c>
      <c r="P22" s="362">
        <v>3412630.87</v>
      </c>
      <c r="Q22" s="363">
        <v>507515.93999999994</v>
      </c>
    </row>
    <row r="23" spans="1:24" ht="12" customHeight="1">
      <c r="A23" s="93"/>
      <c r="B23" s="369" t="s">
        <v>244</v>
      </c>
      <c r="C23" s="369" t="s">
        <v>1274</v>
      </c>
      <c r="D23" s="369" t="s">
        <v>153</v>
      </c>
      <c r="E23" s="370" t="s">
        <v>1271</v>
      </c>
      <c r="F23" s="377">
        <v>1049430.28</v>
      </c>
      <c r="G23" s="378">
        <v>30</v>
      </c>
      <c r="H23" s="371">
        <v>1033524.44</v>
      </c>
      <c r="I23" s="370">
        <v>30</v>
      </c>
      <c r="J23" s="372">
        <v>790509.61</v>
      </c>
      <c r="K23" s="373">
        <v>30</v>
      </c>
      <c r="L23" s="374">
        <v>828233.07000000007</v>
      </c>
      <c r="M23" s="372">
        <v>30</v>
      </c>
      <c r="N23" s="372">
        <v>974643.49</v>
      </c>
      <c r="O23" s="372">
        <v>1181009.96</v>
      </c>
      <c r="P23" s="369">
        <v>1171096.29</v>
      </c>
      <c r="Q23" s="369">
        <v>74786.790000000037</v>
      </c>
    </row>
    <row r="24" spans="1:24" ht="12" customHeight="1">
      <c r="A24" s="93"/>
      <c r="B24" s="362" t="s">
        <v>246</v>
      </c>
      <c r="C24" s="363" t="s">
        <v>1274</v>
      </c>
      <c r="D24" s="363" t="s">
        <v>121</v>
      </c>
      <c r="E24" s="364" t="s">
        <v>1271</v>
      </c>
      <c r="F24" s="365">
        <v>1807945.33</v>
      </c>
      <c r="G24" s="364">
        <v>26</v>
      </c>
      <c r="H24" s="365">
        <v>2042864.2</v>
      </c>
      <c r="I24" s="364">
        <v>26</v>
      </c>
      <c r="J24" s="366">
        <v>1842800.1400000001</v>
      </c>
      <c r="K24" s="367">
        <v>26</v>
      </c>
      <c r="L24" s="368">
        <v>1589335.4100000001</v>
      </c>
      <c r="M24" s="366">
        <v>26</v>
      </c>
      <c r="N24" s="366">
        <v>1580979.24</v>
      </c>
      <c r="O24" s="366">
        <v>1564958.5099999998</v>
      </c>
      <c r="P24" s="362">
        <v>1517523.85</v>
      </c>
      <c r="Q24" s="363">
        <v>226966.09000000008</v>
      </c>
    </row>
    <row r="25" spans="1:24" ht="12" customHeight="1">
      <c r="A25" s="93"/>
      <c r="B25" s="369" t="s">
        <v>248</v>
      </c>
      <c r="C25" s="369" t="s">
        <v>1274</v>
      </c>
      <c r="D25" s="369" t="s">
        <v>121</v>
      </c>
      <c r="E25" s="370" t="s">
        <v>1271</v>
      </c>
      <c r="F25" s="377">
        <v>1030359.58</v>
      </c>
      <c r="G25" s="378">
        <v>15</v>
      </c>
      <c r="H25" s="371">
        <v>836648.55</v>
      </c>
      <c r="I25" s="370">
        <v>15</v>
      </c>
      <c r="J25" s="372">
        <v>802008.29</v>
      </c>
      <c r="K25" s="373">
        <v>15</v>
      </c>
      <c r="L25" s="374">
        <v>880876.49</v>
      </c>
      <c r="M25" s="372">
        <v>15</v>
      </c>
      <c r="N25" s="372">
        <v>883723.6100000001</v>
      </c>
      <c r="O25" s="372">
        <v>866459.1399999999</v>
      </c>
      <c r="P25" s="369">
        <v>1003308.18</v>
      </c>
      <c r="Q25" s="369">
        <v>146635.96999999986</v>
      </c>
    </row>
    <row r="26" spans="1:24" ht="12" customHeight="1">
      <c r="A26" s="93"/>
      <c r="B26" s="362" t="s">
        <v>250</v>
      </c>
      <c r="C26" s="363" t="s">
        <v>1274</v>
      </c>
      <c r="D26" s="363" t="s">
        <v>121</v>
      </c>
      <c r="E26" s="364" t="s">
        <v>1271</v>
      </c>
      <c r="F26" s="365">
        <v>4969776.13</v>
      </c>
      <c r="G26" s="364">
        <v>50</v>
      </c>
      <c r="H26" s="365">
        <v>4838012.09</v>
      </c>
      <c r="I26" s="364">
        <v>51</v>
      </c>
      <c r="J26" s="366">
        <v>4733404.25</v>
      </c>
      <c r="K26" s="367">
        <v>51</v>
      </c>
      <c r="L26" s="368">
        <v>4958677.6400000006</v>
      </c>
      <c r="M26" s="366">
        <v>51</v>
      </c>
      <c r="N26" s="366">
        <v>4513800.17</v>
      </c>
      <c r="O26" s="366">
        <v>4587539.87</v>
      </c>
      <c r="P26" s="362">
        <v>4451338.12</v>
      </c>
      <c r="Q26" s="363">
        <v>455975.95999999996</v>
      </c>
    </row>
    <row r="27" spans="1:24" ht="12" customHeight="1">
      <c r="A27" s="93"/>
      <c r="B27" s="369" t="s">
        <v>252</v>
      </c>
      <c r="C27" s="369" t="s">
        <v>1274</v>
      </c>
      <c r="D27" s="369" t="s">
        <v>121</v>
      </c>
      <c r="E27" s="370" t="s">
        <v>1271</v>
      </c>
      <c r="F27" s="377">
        <v>2992669.13</v>
      </c>
      <c r="G27" s="378">
        <v>37</v>
      </c>
      <c r="H27" s="371">
        <v>2779857.67</v>
      </c>
      <c r="I27" s="370">
        <v>37</v>
      </c>
      <c r="J27" s="372">
        <v>2552571.2000000002</v>
      </c>
      <c r="K27" s="373">
        <v>37</v>
      </c>
      <c r="L27" s="374">
        <v>2571843.5499999998</v>
      </c>
      <c r="M27" s="372">
        <v>37</v>
      </c>
      <c r="N27" s="372">
        <v>2654449.62</v>
      </c>
      <c r="O27" s="372">
        <v>2374835.16</v>
      </c>
      <c r="P27" s="369">
        <v>2126172.1600000001</v>
      </c>
      <c r="Q27" s="369">
        <v>338219.50999999978</v>
      </c>
    </row>
    <row r="28" spans="1:24" ht="12" customHeight="1">
      <c r="A28" s="93"/>
      <c r="B28" s="362" t="s">
        <v>254</v>
      </c>
      <c r="C28" s="363" t="s">
        <v>1272</v>
      </c>
      <c r="D28" s="363" t="s">
        <v>39</v>
      </c>
      <c r="E28" s="364" t="s">
        <v>1273</v>
      </c>
      <c r="F28" s="365">
        <v>4748986.16</v>
      </c>
      <c r="G28" s="364">
        <v>32</v>
      </c>
      <c r="H28" s="365">
        <v>4715349.45</v>
      </c>
      <c r="I28" s="364">
        <v>32</v>
      </c>
      <c r="J28" s="366">
        <v>4211845</v>
      </c>
      <c r="K28" s="367">
        <v>32</v>
      </c>
      <c r="L28" s="368">
        <v>4441392.4700000007</v>
      </c>
      <c r="M28" s="366">
        <v>32</v>
      </c>
      <c r="N28" s="366">
        <v>3759875.42</v>
      </c>
      <c r="O28" s="366">
        <v>3547507.0700000003</v>
      </c>
      <c r="P28" s="362">
        <v>3446511.26</v>
      </c>
      <c r="Q28" s="363">
        <v>989110.74000000022</v>
      </c>
    </row>
    <row r="29" spans="1:24" ht="12" customHeight="1">
      <c r="A29" s="93"/>
      <c r="B29" s="369" t="s">
        <v>256</v>
      </c>
      <c r="C29" s="369" t="s">
        <v>1272</v>
      </c>
      <c r="D29" s="369" t="s">
        <v>161</v>
      </c>
      <c r="E29" s="370" t="s">
        <v>1273</v>
      </c>
      <c r="F29" s="377">
        <v>6024652.75</v>
      </c>
      <c r="G29" s="378">
        <v>45</v>
      </c>
      <c r="H29" s="371">
        <v>6268299.7599999998</v>
      </c>
      <c r="I29" s="370">
        <v>45</v>
      </c>
      <c r="J29" s="372">
        <v>6350372.1299999999</v>
      </c>
      <c r="K29" s="373">
        <v>45</v>
      </c>
      <c r="L29" s="374">
        <v>6634571.0700000003</v>
      </c>
      <c r="M29" s="372">
        <v>45</v>
      </c>
      <c r="N29" s="372">
        <v>7304093.3300000001</v>
      </c>
      <c r="O29" s="372">
        <v>6758191.3399999999</v>
      </c>
      <c r="P29" s="369">
        <v>6324586.0700000003</v>
      </c>
      <c r="Q29" s="369">
        <v>-1279440.58</v>
      </c>
    </row>
    <row r="30" spans="1:24" ht="12" customHeight="1">
      <c r="A30" s="93"/>
      <c r="B30" s="362" t="s">
        <v>262</v>
      </c>
      <c r="C30" s="363" t="s">
        <v>1274</v>
      </c>
      <c r="D30" s="363" t="s">
        <v>105</v>
      </c>
      <c r="E30" s="364" t="s">
        <v>1271</v>
      </c>
      <c r="F30" s="365">
        <v>5339168.5</v>
      </c>
      <c r="G30" s="364">
        <v>50</v>
      </c>
      <c r="H30" s="365">
        <v>5124408.24</v>
      </c>
      <c r="I30" s="364">
        <v>50</v>
      </c>
      <c r="J30" s="366">
        <v>4906976.4399999995</v>
      </c>
      <c r="K30" s="367">
        <v>50</v>
      </c>
      <c r="L30" s="368">
        <v>4913871.54</v>
      </c>
      <c r="M30" s="366">
        <v>50</v>
      </c>
      <c r="N30" s="366">
        <v>4746678.2300000004</v>
      </c>
      <c r="O30" s="366">
        <v>5138682.8499999996</v>
      </c>
      <c r="P30" s="362">
        <v>5337412.5</v>
      </c>
      <c r="Q30" s="363">
        <v>592490.26999999955</v>
      </c>
    </row>
    <row r="31" spans="1:24" ht="12" customHeight="1">
      <c r="A31" s="93"/>
      <c r="B31" s="369" t="s">
        <v>258</v>
      </c>
      <c r="C31" s="369" t="s">
        <v>1274</v>
      </c>
      <c r="D31" s="369" t="s">
        <v>105</v>
      </c>
      <c r="E31" s="370" t="s">
        <v>1271</v>
      </c>
      <c r="F31" s="377">
        <v>2218840.7999999998</v>
      </c>
      <c r="G31" s="378">
        <v>34</v>
      </c>
      <c r="H31" s="371">
        <v>2083080.65</v>
      </c>
      <c r="I31" s="370">
        <v>28</v>
      </c>
      <c r="J31" s="372">
        <v>2067109.9500000002</v>
      </c>
      <c r="K31" s="373">
        <v>28</v>
      </c>
      <c r="L31" s="374">
        <v>2061222.81</v>
      </c>
      <c r="M31" s="372">
        <v>28</v>
      </c>
      <c r="N31" s="372">
        <v>1843507.6</v>
      </c>
      <c r="O31" s="372">
        <v>1966728.4100000001</v>
      </c>
      <c r="P31" s="369">
        <v>1978246.41</v>
      </c>
      <c r="Q31" s="369">
        <v>375333.19999999972</v>
      </c>
    </row>
    <row r="32" spans="1:24" ht="12" customHeight="1">
      <c r="A32" s="93"/>
      <c r="B32" s="362" t="s">
        <v>260</v>
      </c>
      <c r="C32" s="363" t="s">
        <v>1274</v>
      </c>
      <c r="D32" s="363" t="s">
        <v>105</v>
      </c>
      <c r="E32" s="364" t="s">
        <v>1271</v>
      </c>
      <c r="F32" s="365">
        <v>3181308.1100000003</v>
      </c>
      <c r="G32" s="364">
        <v>54</v>
      </c>
      <c r="H32" s="365">
        <v>3468213</v>
      </c>
      <c r="I32" s="364">
        <v>54</v>
      </c>
      <c r="J32" s="366">
        <v>3455157.98</v>
      </c>
      <c r="K32" s="367">
        <v>54</v>
      </c>
      <c r="L32" s="368">
        <v>3229571.6399999997</v>
      </c>
      <c r="M32" s="366">
        <v>54</v>
      </c>
      <c r="N32" s="366">
        <v>3239544.42</v>
      </c>
      <c r="O32" s="366">
        <v>3226704.4699999997</v>
      </c>
      <c r="P32" s="362">
        <v>3389919.68</v>
      </c>
      <c r="Q32" s="363">
        <v>-58236.30999999959</v>
      </c>
    </row>
    <row r="33" spans="1:17" ht="12" customHeight="1">
      <c r="A33" s="93"/>
      <c r="B33" s="369" t="s">
        <v>268</v>
      </c>
      <c r="C33" s="369" t="s">
        <v>1272</v>
      </c>
      <c r="D33" s="369" t="s">
        <v>146</v>
      </c>
      <c r="E33" s="370" t="s">
        <v>1273</v>
      </c>
      <c r="F33" s="377">
        <v>2716311.82</v>
      </c>
      <c r="G33" s="378">
        <v>22</v>
      </c>
      <c r="H33" s="371">
        <v>2778886.5</v>
      </c>
      <c r="I33" s="370">
        <v>22</v>
      </c>
      <c r="J33" s="372">
        <v>2067959.99</v>
      </c>
      <c r="K33" s="373">
        <v>22</v>
      </c>
      <c r="L33" s="374">
        <v>2128548.88</v>
      </c>
      <c r="M33" s="372">
        <v>22</v>
      </c>
      <c r="N33" s="372">
        <v>2276974.44</v>
      </c>
      <c r="O33" s="372">
        <v>1959951.07</v>
      </c>
      <c r="P33" s="369">
        <v>2075852.07</v>
      </c>
      <c r="Q33" s="369">
        <v>439337.37999999989</v>
      </c>
    </row>
    <row r="34" spans="1:17" ht="12" customHeight="1">
      <c r="A34" s="93"/>
      <c r="B34" s="362" t="s">
        <v>270</v>
      </c>
      <c r="C34" s="363" t="s">
        <v>1272</v>
      </c>
      <c r="D34" s="363" t="s">
        <v>155</v>
      </c>
      <c r="E34" s="364" t="s">
        <v>1273</v>
      </c>
      <c r="F34" s="365">
        <v>5294961.25</v>
      </c>
      <c r="G34" s="364">
        <v>45</v>
      </c>
      <c r="H34" s="365">
        <v>3585638.87</v>
      </c>
      <c r="I34" s="364">
        <v>30</v>
      </c>
      <c r="J34" s="366">
        <v>3538388.31</v>
      </c>
      <c r="K34" s="367">
        <v>30</v>
      </c>
      <c r="L34" s="368">
        <v>3674706.64</v>
      </c>
      <c r="M34" s="366">
        <v>30</v>
      </c>
      <c r="N34" s="366">
        <v>3412591.8200000003</v>
      </c>
      <c r="O34" s="366">
        <v>3286153.11</v>
      </c>
      <c r="P34" s="362">
        <v>3582770.27</v>
      </c>
      <c r="Q34" s="363">
        <v>1882369.4299999997</v>
      </c>
    </row>
    <row r="35" spans="1:17" ht="12" customHeight="1">
      <c r="A35" s="93"/>
      <c r="B35" s="369" t="s">
        <v>1286</v>
      </c>
      <c r="C35" s="369" t="s">
        <v>1272</v>
      </c>
      <c r="D35" s="369" t="s">
        <v>161</v>
      </c>
      <c r="E35" s="370" t="s">
        <v>1273</v>
      </c>
      <c r="F35" s="377">
        <v>2462436.59</v>
      </c>
      <c r="G35" s="378">
        <v>29</v>
      </c>
      <c r="H35" s="371">
        <v>2136982.6100000003</v>
      </c>
      <c r="I35" s="370">
        <v>29</v>
      </c>
      <c r="J35" s="372">
        <v>1593257.51</v>
      </c>
      <c r="K35" s="373">
        <v>29</v>
      </c>
      <c r="L35" s="374">
        <v>1554046.05</v>
      </c>
      <c r="M35" s="372">
        <v>29</v>
      </c>
      <c r="N35" s="372">
        <v>1629509.47</v>
      </c>
      <c r="O35" s="372">
        <v>1406751.8</v>
      </c>
      <c r="P35" s="369">
        <v>0</v>
      </c>
      <c r="Q35" s="369">
        <v>832927.11999999988</v>
      </c>
    </row>
    <row r="36" spans="1:17" ht="12" customHeight="1">
      <c r="A36" s="93"/>
      <c r="B36" s="362" t="s">
        <v>272</v>
      </c>
      <c r="C36" s="363" t="s">
        <v>1272</v>
      </c>
      <c r="D36" s="363" t="s">
        <v>138</v>
      </c>
      <c r="E36" s="364" t="s">
        <v>1273</v>
      </c>
      <c r="F36" s="365">
        <v>8679495.1799999997</v>
      </c>
      <c r="G36" s="364">
        <v>80</v>
      </c>
      <c r="H36" s="365">
        <v>9337910</v>
      </c>
      <c r="I36" s="364">
        <v>80</v>
      </c>
      <c r="J36" s="366">
        <v>8917391.0899999999</v>
      </c>
      <c r="K36" s="367">
        <v>79</v>
      </c>
      <c r="L36" s="368">
        <v>10180979.969999999</v>
      </c>
      <c r="M36" s="366">
        <v>79</v>
      </c>
      <c r="N36" s="366">
        <v>10540112.720000001</v>
      </c>
      <c r="O36" s="366">
        <v>10145114.09</v>
      </c>
      <c r="P36" s="362">
        <v>10720601.41</v>
      </c>
      <c r="Q36" s="363">
        <v>-1860617.540000001</v>
      </c>
    </row>
    <row r="37" spans="1:17" ht="12" customHeight="1">
      <c r="A37" s="93"/>
      <c r="B37" s="369" t="s">
        <v>1287</v>
      </c>
      <c r="C37" s="369" t="s">
        <v>1272</v>
      </c>
      <c r="D37" s="369" t="s">
        <v>161</v>
      </c>
      <c r="E37" s="370" t="s">
        <v>1273</v>
      </c>
      <c r="F37" s="377">
        <v>2417962.33</v>
      </c>
      <c r="G37" s="378">
        <v>32</v>
      </c>
      <c r="H37" s="371">
        <v>2506996.96</v>
      </c>
      <c r="I37" s="370">
        <v>32</v>
      </c>
      <c r="J37" s="372">
        <v>2134295.2400000002</v>
      </c>
      <c r="K37" s="373">
        <v>32</v>
      </c>
      <c r="L37" s="374">
        <v>1819663.57</v>
      </c>
      <c r="M37" s="372">
        <v>32</v>
      </c>
      <c r="N37" s="372">
        <v>2263709.6500000004</v>
      </c>
      <c r="O37" s="372">
        <v>1847443.3599999999</v>
      </c>
      <c r="P37" s="369">
        <v>2318935.11</v>
      </c>
      <c r="Q37" s="369">
        <v>154252.6799999997</v>
      </c>
    </row>
    <row r="38" spans="1:17" ht="12" customHeight="1">
      <c r="A38" s="93"/>
      <c r="B38" s="362" t="s">
        <v>278</v>
      </c>
      <c r="C38" s="363" t="s">
        <v>1274</v>
      </c>
      <c r="D38" s="363" t="s">
        <v>129</v>
      </c>
      <c r="E38" s="364" t="s">
        <v>1271</v>
      </c>
      <c r="F38" s="365">
        <v>736870.33000000007</v>
      </c>
      <c r="G38" s="364">
        <v>28</v>
      </c>
      <c r="H38" s="365">
        <v>673405.24</v>
      </c>
      <c r="I38" s="364">
        <v>28</v>
      </c>
      <c r="J38" s="366">
        <v>740724.59</v>
      </c>
      <c r="K38" s="367">
        <v>28</v>
      </c>
      <c r="L38" s="368">
        <v>737273.18</v>
      </c>
      <c r="M38" s="366">
        <v>28</v>
      </c>
      <c r="N38" s="366">
        <v>803479.32</v>
      </c>
      <c r="O38" s="366">
        <v>851586.03</v>
      </c>
      <c r="P38" s="362">
        <v>934875.28</v>
      </c>
      <c r="Q38" s="363">
        <v>-66608.989999999874</v>
      </c>
    </row>
    <row r="39" spans="1:17" ht="12" customHeight="1">
      <c r="A39" s="93"/>
      <c r="B39" s="369" t="s">
        <v>276</v>
      </c>
      <c r="C39" s="369" t="s">
        <v>1272</v>
      </c>
      <c r="D39" s="369" t="s">
        <v>161</v>
      </c>
      <c r="E39" s="370" t="s">
        <v>1273</v>
      </c>
      <c r="F39" s="377">
        <v>3496679.38</v>
      </c>
      <c r="G39" s="378">
        <v>40</v>
      </c>
      <c r="H39" s="371">
        <v>3564596</v>
      </c>
      <c r="I39" s="370">
        <v>40</v>
      </c>
      <c r="J39" s="372">
        <v>3616709.8499999996</v>
      </c>
      <c r="K39" s="373">
        <v>40</v>
      </c>
      <c r="L39" s="374">
        <v>3124239.41</v>
      </c>
      <c r="M39" s="372">
        <v>40</v>
      </c>
      <c r="N39" s="372">
        <v>3280267.01</v>
      </c>
      <c r="O39" s="372">
        <v>2192701.7600000002</v>
      </c>
      <c r="P39" s="369">
        <v>1504803.11</v>
      </c>
      <c r="Q39" s="369">
        <v>216412.37000000011</v>
      </c>
    </row>
    <row r="40" spans="1:17" ht="12" customHeight="1">
      <c r="A40" s="93"/>
      <c r="B40" s="362" t="s">
        <v>280</v>
      </c>
      <c r="C40" s="363" t="s">
        <v>1274</v>
      </c>
      <c r="D40" s="363" t="s">
        <v>110</v>
      </c>
      <c r="E40" s="364" t="s">
        <v>1271</v>
      </c>
      <c r="F40" s="365">
        <v>2416825.5099999998</v>
      </c>
      <c r="G40" s="364">
        <v>50</v>
      </c>
      <c r="H40" s="365">
        <v>2443819.71</v>
      </c>
      <c r="I40" s="364">
        <v>50</v>
      </c>
      <c r="J40" s="366">
        <v>2257218.92</v>
      </c>
      <c r="K40" s="367">
        <v>50</v>
      </c>
      <c r="L40" s="368">
        <v>2458877.38</v>
      </c>
      <c r="M40" s="366">
        <v>50</v>
      </c>
      <c r="N40" s="366">
        <v>2293022.2199999997</v>
      </c>
      <c r="O40" s="366">
        <v>2471780.66</v>
      </c>
      <c r="P40" s="362">
        <v>2598974.35</v>
      </c>
      <c r="Q40" s="363">
        <v>123803.29000000004</v>
      </c>
    </row>
    <row r="41" spans="1:17" ht="12" customHeight="1">
      <c r="A41" s="93"/>
      <c r="B41" s="369" t="s">
        <v>282</v>
      </c>
      <c r="C41" s="369" t="s">
        <v>1274</v>
      </c>
      <c r="D41" s="369" t="s">
        <v>110</v>
      </c>
      <c r="E41" s="370" t="s">
        <v>1271</v>
      </c>
      <c r="F41" s="377">
        <v>870437.71</v>
      </c>
      <c r="G41" s="378">
        <v>25</v>
      </c>
      <c r="H41" s="371">
        <v>853139.44</v>
      </c>
      <c r="I41" s="370">
        <v>25</v>
      </c>
      <c r="J41" s="372">
        <v>762106.02</v>
      </c>
      <c r="K41" s="373">
        <v>25</v>
      </c>
      <c r="L41" s="374">
        <v>767177.89</v>
      </c>
      <c r="M41" s="372">
        <v>25</v>
      </c>
      <c r="N41" s="372">
        <v>805484.2</v>
      </c>
      <c r="O41" s="372">
        <v>889203.25</v>
      </c>
      <c r="P41" s="369">
        <v>840060.83</v>
      </c>
      <c r="Q41" s="369">
        <v>64953.510000000009</v>
      </c>
    </row>
    <row r="42" spans="1:17" ht="11.25" customHeight="1">
      <c r="A42" s="93"/>
      <c r="B42" s="362" t="s">
        <v>1288</v>
      </c>
      <c r="C42" s="363" t="s">
        <v>1274</v>
      </c>
      <c r="D42" s="363" t="s">
        <v>127</v>
      </c>
      <c r="E42" s="364" t="s">
        <v>1271</v>
      </c>
      <c r="F42" s="365">
        <v>2665467.3099999996</v>
      </c>
      <c r="G42" s="364">
        <v>60</v>
      </c>
      <c r="H42" s="365">
        <v>2597778.19</v>
      </c>
      <c r="I42" s="364">
        <v>60</v>
      </c>
      <c r="J42" s="366">
        <v>2223290.29</v>
      </c>
      <c r="K42" s="367">
        <v>44</v>
      </c>
      <c r="L42" s="368">
        <v>1916108.4100000001</v>
      </c>
      <c r="M42" s="366">
        <v>44</v>
      </c>
      <c r="N42" s="366">
        <v>2164825.23</v>
      </c>
      <c r="O42" s="366">
        <v>2276750.33</v>
      </c>
      <c r="P42" s="362">
        <v>2441274.91</v>
      </c>
      <c r="Q42" s="363">
        <v>500642.07999999961</v>
      </c>
    </row>
    <row r="43" spans="1:17" ht="12" customHeight="1">
      <c r="A43" s="93"/>
      <c r="B43" s="369" t="s">
        <v>284</v>
      </c>
      <c r="C43" s="369" t="s">
        <v>1274</v>
      </c>
      <c r="D43" s="369" t="s">
        <v>127</v>
      </c>
      <c r="E43" s="370" t="s">
        <v>1271</v>
      </c>
      <c r="F43" s="377">
        <v>8164519.8900000006</v>
      </c>
      <c r="G43" s="378">
        <v>93</v>
      </c>
      <c r="H43" s="371">
        <v>7390098.5199999996</v>
      </c>
      <c r="I43" s="370">
        <v>76</v>
      </c>
      <c r="J43" s="372">
        <v>6962126.79</v>
      </c>
      <c r="K43" s="373">
        <v>93</v>
      </c>
      <c r="L43" s="374">
        <v>6401312.0700000003</v>
      </c>
      <c r="M43" s="372">
        <v>81</v>
      </c>
      <c r="N43" s="372">
        <v>5804878.1500000004</v>
      </c>
      <c r="O43" s="372">
        <v>5396255.4100000001</v>
      </c>
      <c r="P43" s="369">
        <v>4924594.1100000003</v>
      </c>
      <c r="Q43" s="369">
        <v>2359641.7400000002</v>
      </c>
    </row>
    <row r="44" spans="1:17" ht="12" customHeight="1">
      <c r="A44" s="93"/>
      <c r="B44" s="362" t="s">
        <v>286</v>
      </c>
      <c r="C44" s="363" t="s">
        <v>1274</v>
      </c>
      <c r="D44" s="363" t="s">
        <v>127</v>
      </c>
      <c r="E44" s="364" t="s">
        <v>1271</v>
      </c>
      <c r="F44" s="365">
        <v>6369865.7999999998</v>
      </c>
      <c r="G44" s="364">
        <v>105</v>
      </c>
      <c r="H44" s="365">
        <v>6210051.9700000007</v>
      </c>
      <c r="I44" s="364">
        <v>104</v>
      </c>
      <c r="J44" s="366">
        <v>6163434.7200000007</v>
      </c>
      <c r="K44" s="367">
        <v>105</v>
      </c>
      <c r="L44" s="368">
        <v>6815593.3900000006</v>
      </c>
      <c r="M44" s="366">
        <v>105</v>
      </c>
      <c r="N44" s="366">
        <v>6904844.9900000002</v>
      </c>
      <c r="O44" s="366">
        <v>6926896.1500000004</v>
      </c>
      <c r="P44" s="362">
        <v>5464255.4100000001</v>
      </c>
      <c r="Q44" s="363">
        <v>-534979.19000000041</v>
      </c>
    </row>
    <row r="45" spans="1:17" ht="12" customHeight="1">
      <c r="A45" s="93"/>
      <c r="B45" s="369" t="s">
        <v>288</v>
      </c>
      <c r="C45" s="369" t="s">
        <v>1272</v>
      </c>
      <c r="D45" s="369" t="s">
        <v>124</v>
      </c>
      <c r="E45" s="370" t="s">
        <v>1271</v>
      </c>
      <c r="F45" s="377">
        <v>2865942.4299999997</v>
      </c>
      <c r="G45" s="378">
        <v>88</v>
      </c>
      <c r="H45" s="371">
        <v>2682498.9500000002</v>
      </c>
      <c r="I45" s="370">
        <v>88</v>
      </c>
      <c r="J45" s="372">
        <v>2564945.12</v>
      </c>
      <c r="K45" s="373">
        <v>88</v>
      </c>
      <c r="L45" s="374">
        <v>2633785.59</v>
      </c>
      <c r="M45" s="372">
        <v>80</v>
      </c>
      <c r="N45" s="372">
        <v>2718870.51</v>
      </c>
      <c r="O45" s="372">
        <v>2304188.0300000003</v>
      </c>
      <c r="P45" s="369">
        <v>2203344.17</v>
      </c>
      <c r="Q45" s="369">
        <v>147071.91999999993</v>
      </c>
    </row>
    <row r="46" spans="1:17" ht="12" customHeight="1">
      <c r="A46" s="93"/>
      <c r="B46" s="362" t="s">
        <v>290</v>
      </c>
      <c r="C46" s="363" t="s">
        <v>1272</v>
      </c>
      <c r="D46" s="363" t="s">
        <v>124</v>
      </c>
      <c r="E46" s="364" t="s">
        <v>1271</v>
      </c>
      <c r="F46" s="365">
        <v>8356966.7400000002</v>
      </c>
      <c r="G46" s="364">
        <v>90</v>
      </c>
      <c r="H46" s="365">
        <v>7460820.3399999999</v>
      </c>
      <c r="I46" s="364">
        <v>90</v>
      </c>
      <c r="J46" s="366">
        <v>7254622.7799999993</v>
      </c>
      <c r="K46" s="367">
        <v>87</v>
      </c>
      <c r="L46" s="368">
        <v>6776136.9500000002</v>
      </c>
      <c r="M46" s="366">
        <v>90</v>
      </c>
      <c r="N46" s="366">
        <v>6205924.4900000002</v>
      </c>
      <c r="O46" s="366">
        <v>5823557.9600000009</v>
      </c>
      <c r="P46" s="362">
        <v>5674642.54</v>
      </c>
      <c r="Q46" s="363">
        <v>2151042.25</v>
      </c>
    </row>
    <row r="47" spans="1:17" ht="12" customHeight="1">
      <c r="A47" s="93"/>
      <c r="B47" s="369" t="s">
        <v>292</v>
      </c>
      <c r="C47" s="369" t="s">
        <v>1272</v>
      </c>
      <c r="D47" s="369" t="s">
        <v>116</v>
      </c>
      <c r="E47" s="370" t="s">
        <v>1273</v>
      </c>
      <c r="F47" s="377">
        <v>9701749.9100000001</v>
      </c>
      <c r="G47" s="378">
        <v>63</v>
      </c>
      <c r="H47" s="371">
        <v>9153144.2400000002</v>
      </c>
      <c r="I47" s="370">
        <v>63</v>
      </c>
      <c r="J47" s="372">
        <v>9140490.9699999988</v>
      </c>
      <c r="K47" s="373">
        <v>63</v>
      </c>
      <c r="L47" s="374">
        <v>8611997.0700000003</v>
      </c>
      <c r="M47" s="372">
        <v>63</v>
      </c>
      <c r="N47" s="372">
        <v>9145008.129999999</v>
      </c>
      <c r="O47" s="372">
        <v>8797953.4900000002</v>
      </c>
      <c r="P47" s="369">
        <v>8928430.0899999999</v>
      </c>
      <c r="Q47" s="369">
        <v>556741.78000000119</v>
      </c>
    </row>
    <row r="48" spans="1:17" ht="12" customHeight="1">
      <c r="A48" s="93"/>
      <c r="B48" s="362" t="s">
        <v>294</v>
      </c>
      <c r="C48" s="363" t="s">
        <v>1272</v>
      </c>
      <c r="D48" s="363" t="s">
        <v>116</v>
      </c>
      <c r="E48" s="364" t="s">
        <v>1273</v>
      </c>
      <c r="F48" s="365">
        <v>19695647.829999998</v>
      </c>
      <c r="G48" s="364">
        <v>105</v>
      </c>
      <c r="H48" s="365">
        <v>18935949.600000001</v>
      </c>
      <c r="I48" s="364">
        <v>105</v>
      </c>
      <c r="J48" s="366">
        <v>17832960.219999999</v>
      </c>
      <c r="K48" s="367">
        <v>95</v>
      </c>
      <c r="L48" s="368">
        <v>16536141.85</v>
      </c>
      <c r="M48" s="366">
        <v>94</v>
      </c>
      <c r="N48" s="366">
        <v>14817705.699999999</v>
      </c>
      <c r="O48" s="366">
        <v>13833794.949999999</v>
      </c>
      <c r="P48" s="362">
        <v>12150241.699999999</v>
      </c>
      <c r="Q48" s="363">
        <v>4877942.129999999</v>
      </c>
    </row>
    <row r="49" spans="1:17" ht="12" customHeight="1">
      <c r="A49" s="93"/>
      <c r="B49" s="369" t="s">
        <v>296</v>
      </c>
      <c r="C49" s="369" t="s">
        <v>1274</v>
      </c>
      <c r="D49" s="369" t="s">
        <v>181</v>
      </c>
      <c r="E49" s="370" t="s">
        <v>1273</v>
      </c>
      <c r="F49" s="377">
        <v>1667424.02</v>
      </c>
      <c r="G49" s="378">
        <v>30</v>
      </c>
      <c r="H49" s="371">
        <v>1739004.4</v>
      </c>
      <c r="I49" s="370">
        <v>30</v>
      </c>
      <c r="J49" s="372">
        <v>1733295.62</v>
      </c>
      <c r="K49" s="373">
        <v>30</v>
      </c>
      <c r="L49" s="374">
        <v>1534181.93</v>
      </c>
      <c r="M49" s="372">
        <v>30</v>
      </c>
      <c r="N49" s="372">
        <v>1348459.21</v>
      </c>
      <c r="O49" s="372">
        <v>1178231.27</v>
      </c>
      <c r="P49" s="369">
        <v>1261893.1599999999</v>
      </c>
      <c r="Q49" s="369">
        <v>318964.81000000006</v>
      </c>
    </row>
    <row r="50" spans="1:17" ht="12" customHeight="1">
      <c r="A50" s="93"/>
      <c r="B50" s="362" t="s">
        <v>298</v>
      </c>
      <c r="C50" s="363" t="s">
        <v>1272</v>
      </c>
      <c r="D50" s="363" t="s">
        <v>38</v>
      </c>
      <c r="E50" s="364" t="s">
        <v>1273</v>
      </c>
      <c r="F50" s="365">
        <v>7892748.5499999998</v>
      </c>
      <c r="G50" s="364">
        <v>66</v>
      </c>
      <c r="H50" s="365">
        <v>7728421.1799999997</v>
      </c>
      <c r="I50" s="364">
        <v>66</v>
      </c>
      <c r="J50" s="366">
        <v>7775996.9100000001</v>
      </c>
      <c r="K50" s="367">
        <v>66</v>
      </c>
      <c r="L50" s="368">
        <v>8557096.879999999</v>
      </c>
      <c r="M50" s="366">
        <v>66</v>
      </c>
      <c r="N50" s="366">
        <v>8548568.0199999996</v>
      </c>
      <c r="O50" s="366">
        <v>8802899.879999999</v>
      </c>
      <c r="P50" s="362">
        <v>8712325.9199999999</v>
      </c>
      <c r="Q50" s="363">
        <v>-655819.46999999974</v>
      </c>
    </row>
    <row r="51" spans="1:17" ht="12" customHeight="1">
      <c r="A51" s="93"/>
      <c r="B51" s="369" t="s">
        <v>300</v>
      </c>
      <c r="C51" s="369" t="s">
        <v>1274</v>
      </c>
      <c r="D51" s="369" t="s">
        <v>181</v>
      </c>
      <c r="E51" s="370" t="s">
        <v>1273</v>
      </c>
      <c r="F51" s="377">
        <v>1342959.17</v>
      </c>
      <c r="G51" s="378">
        <v>25</v>
      </c>
      <c r="H51" s="371">
        <v>1287748.69</v>
      </c>
      <c r="I51" s="370">
        <v>25</v>
      </c>
      <c r="J51" s="372">
        <v>1212171.46</v>
      </c>
      <c r="K51" s="373">
        <v>25</v>
      </c>
      <c r="L51" s="374">
        <v>1137489.79</v>
      </c>
      <c r="M51" s="372">
        <v>25</v>
      </c>
      <c r="N51" s="372">
        <v>1170749.69</v>
      </c>
      <c r="O51" s="372">
        <v>1178451.73</v>
      </c>
      <c r="P51" s="369">
        <v>1108919.1299999999</v>
      </c>
      <c r="Q51" s="369">
        <v>172209.47999999998</v>
      </c>
    </row>
    <row r="52" spans="1:17" ht="12" customHeight="1">
      <c r="A52" s="93"/>
      <c r="B52" s="362" t="s">
        <v>302</v>
      </c>
      <c r="C52" s="363" t="s">
        <v>1274</v>
      </c>
      <c r="D52" s="363" t="s">
        <v>105</v>
      </c>
      <c r="E52" s="364" t="s">
        <v>1273</v>
      </c>
      <c r="F52" s="365">
        <v>5975430.8900000006</v>
      </c>
      <c r="G52" s="364">
        <v>40</v>
      </c>
      <c r="H52" s="365">
        <v>5541929.2400000002</v>
      </c>
      <c r="I52" s="364">
        <v>40</v>
      </c>
      <c r="J52" s="366">
        <v>5629976.9199999999</v>
      </c>
      <c r="K52" s="367">
        <v>40</v>
      </c>
      <c r="L52" s="368">
        <v>5603376.6500000004</v>
      </c>
      <c r="M52" s="366">
        <v>40</v>
      </c>
      <c r="N52" s="366">
        <v>5548478.6099999994</v>
      </c>
      <c r="O52" s="366">
        <v>5687564.0599999996</v>
      </c>
      <c r="P52" s="362">
        <v>5857594.0800000001</v>
      </c>
      <c r="Q52" s="363">
        <v>426952.28000000119</v>
      </c>
    </row>
    <row r="53" spans="1:17" ht="12" customHeight="1">
      <c r="A53" s="93"/>
      <c r="B53" s="369" t="s">
        <v>1289</v>
      </c>
      <c r="C53" s="369" t="s">
        <v>1274</v>
      </c>
      <c r="D53" s="369" t="s">
        <v>127</v>
      </c>
      <c r="E53" s="370" t="s">
        <v>1271</v>
      </c>
      <c r="F53" s="377">
        <v>3063047.6799999997</v>
      </c>
      <c r="G53" s="378">
        <v>40</v>
      </c>
      <c r="H53" s="371">
        <v>3397541.32</v>
      </c>
      <c r="I53" s="370">
        <v>40</v>
      </c>
      <c r="J53" s="372">
        <v>3192670.74</v>
      </c>
      <c r="K53" s="373">
        <v>40</v>
      </c>
      <c r="L53" s="374">
        <v>3337746.6500000004</v>
      </c>
      <c r="M53" s="372">
        <v>40</v>
      </c>
      <c r="N53" s="372">
        <v>3170085.76</v>
      </c>
      <c r="O53" s="372">
        <v>3120119.83</v>
      </c>
      <c r="P53" s="369">
        <v>3044631.57</v>
      </c>
      <c r="Q53" s="369">
        <v>-107038.08000000007</v>
      </c>
    </row>
    <row r="54" spans="1:17" ht="12" customHeight="1">
      <c r="A54" s="93"/>
      <c r="B54" s="362" t="s">
        <v>304</v>
      </c>
      <c r="C54" s="363" t="s">
        <v>1272</v>
      </c>
      <c r="D54" s="363" t="s">
        <v>124</v>
      </c>
      <c r="E54" s="364" t="s">
        <v>1273</v>
      </c>
      <c r="F54" s="365">
        <v>9581039.4900000002</v>
      </c>
      <c r="G54" s="364">
        <v>75</v>
      </c>
      <c r="H54" s="365">
        <v>9926857.9699999988</v>
      </c>
      <c r="I54" s="364">
        <v>75</v>
      </c>
      <c r="J54" s="366">
        <v>10413776.370000001</v>
      </c>
      <c r="K54" s="367">
        <v>75</v>
      </c>
      <c r="L54" s="368">
        <v>10398871.859999999</v>
      </c>
      <c r="M54" s="366">
        <v>75</v>
      </c>
      <c r="N54" s="366">
        <v>10599254.76</v>
      </c>
      <c r="O54" s="366">
        <v>10226759.029999999</v>
      </c>
      <c r="P54" s="362">
        <v>9953430.5899999999</v>
      </c>
      <c r="Q54" s="363">
        <v>-1018215.2699999996</v>
      </c>
    </row>
    <row r="55" spans="1:17" ht="12" customHeight="1">
      <c r="A55" s="93"/>
      <c r="B55" s="369" t="s">
        <v>306</v>
      </c>
      <c r="C55" s="369" t="s">
        <v>1272</v>
      </c>
      <c r="D55" s="369" t="s">
        <v>146</v>
      </c>
      <c r="E55" s="370" t="s">
        <v>1273</v>
      </c>
      <c r="F55" s="377">
        <v>15697011.190000001</v>
      </c>
      <c r="G55" s="378">
        <v>100</v>
      </c>
      <c r="H55" s="371">
        <v>15506931.34</v>
      </c>
      <c r="I55" s="370">
        <v>100</v>
      </c>
      <c r="J55" s="372">
        <v>14375382.550000001</v>
      </c>
      <c r="K55" s="373">
        <v>100</v>
      </c>
      <c r="L55" s="374">
        <v>14811751.51</v>
      </c>
      <c r="M55" s="372">
        <v>100</v>
      </c>
      <c r="N55" s="372">
        <v>15012790.99</v>
      </c>
      <c r="O55" s="372">
        <v>14752026.140000001</v>
      </c>
      <c r="P55" s="369">
        <v>13760820.359999999</v>
      </c>
      <c r="Q55" s="369">
        <v>684220.20000000112</v>
      </c>
    </row>
    <row r="56" spans="1:17" ht="12" customHeight="1">
      <c r="A56" s="93"/>
      <c r="B56" s="362" t="s">
        <v>308</v>
      </c>
      <c r="C56" s="363" t="s">
        <v>1272</v>
      </c>
      <c r="D56" s="363" t="s">
        <v>38</v>
      </c>
      <c r="E56" s="364" t="s">
        <v>1271</v>
      </c>
      <c r="F56" s="365">
        <v>3160061.15</v>
      </c>
      <c r="G56" s="364">
        <v>39</v>
      </c>
      <c r="H56" s="365">
        <v>3219320.69</v>
      </c>
      <c r="I56" s="364">
        <v>39</v>
      </c>
      <c r="J56" s="366">
        <v>3076022.17</v>
      </c>
      <c r="K56" s="367">
        <v>39</v>
      </c>
      <c r="L56" s="368">
        <v>2510251.23</v>
      </c>
      <c r="M56" s="366">
        <v>39</v>
      </c>
      <c r="N56" s="366">
        <v>2288158.54</v>
      </c>
      <c r="O56" s="366">
        <v>2059391.03</v>
      </c>
      <c r="P56" s="362">
        <v>1864427.43</v>
      </c>
      <c r="Q56" s="363">
        <v>871902.60999999987</v>
      </c>
    </row>
    <row r="57" spans="1:17" ht="12" customHeight="1">
      <c r="A57" s="93"/>
      <c r="B57" s="369" t="s">
        <v>310</v>
      </c>
      <c r="C57" s="369" t="s">
        <v>1272</v>
      </c>
      <c r="D57" s="369" t="s">
        <v>38</v>
      </c>
      <c r="E57" s="370" t="s">
        <v>1271</v>
      </c>
      <c r="F57" s="377">
        <v>8987499.0300000012</v>
      </c>
      <c r="G57" s="378">
        <v>103</v>
      </c>
      <c r="H57" s="371">
        <v>9227701.379999999</v>
      </c>
      <c r="I57" s="370">
        <v>103</v>
      </c>
      <c r="J57" s="372">
        <v>8843662.0700000003</v>
      </c>
      <c r="K57" s="373">
        <v>103</v>
      </c>
      <c r="L57" s="374">
        <v>8335537.3100000005</v>
      </c>
      <c r="M57" s="372">
        <v>103</v>
      </c>
      <c r="N57" s="372">
        <v>7600763</v>
      </c>
      <c r="O57" s="372">
        <v>7743703.54</v>
      </c>
      <c r="P57" s="369">
        <v>7522035.7300000004</v>
      </c>
      <c r="Q57" s="369">
        <v>1386736.0300000012</v>
      </c>
    </row>
    <row r="58" spans="1:17" ht="12" customHeight="1">
      <c r="A58" s="93"/>
      <c r="B58" s="362" t="s">
        <v>312</v>
      </c>
      <c r="C58" s="363" t="s">
        <v>1272</v>
      </c>
      <c r="D58" s="363" t="s">
        <v>144</v>
      </c>
      <c r="E58" s="364" t="s">
        <v>1273</v>
      </c>
      <c r="F58" s="365">
        <v>7619723.5999999996</v>
      </c>
      <c r="G58" s="364">
        <v>45</v>
      </c>
      <c r="H58" s="365">
        <v>6758720.2200000007</v>
      </c>
      <c r="I58" s="364">
        <v>45</v>
      </c>
      <c r="J58" s="366">
        <v>6163002.0199999996</v>
      </c>
      <c r="K58" s="367">
        <v>45</v>
      </c>
      <c r="L58" s="368">
        <v>5564880.0199999996</v>
      </c>
      <c r="M58" s="366">
        <v>45</v>
      </c>
      <c r="N58" s="366">
        <v>5543282.7999999998</v>
      </c>
      <c r="O58" s="366">
        <v>5543292.96</v>
      </c>
      <c r="P58" s="362">
        <v>4657964.13</v>
      </c>
      <c r="Q58" s="363">
        <v>2076440.7999999998</v>
      </c>
    </row>
    <row r="59" spans="1:17" ht="12" customHeight="1">
      <c r="A59" s="93"/>
      <c r="B59" s="369" t="s">
        <v>1290</v>
      </c>
      <c r="C59" s="369" t="s">
        <v>1272</v>
      </c>
      <c r="D59" s="369" t="s">
        <v>137</v>
      </c>
      <c r="E59" s="370" t="s">
        <v>1273</v>
      </c>
      <c r="F59" s="377">
        <v>3260781.1399999997</v>
      </c>
      <c r="G59" s="378">
        <v>50</v>
      </c>
      <c r="H59" s="371">
        <v>3431498.57</v>
      </c>
      <c r="I59" s="370">
        <v>50</v>
      </c>
      <c r="J59" s="372">
        <v>3332341.64</v>
      </c>
      <c r="K59" s="373">
        <v>50</v>
      </c>
      <c r="L59" s="374">
        <v>3550282.2600000002</v>
      </c>
      <c r="M59" s="372">
        <v>50</v>
      </c>
      <c r="N59" s="372">
        <v>3280370.32</v>
      </c>
      <c r="O59" s="372">
        <v>3223615.0700000003</v>
      </c>
      <c r="P59" s="369">
        <v>2679682.9300000002</v>
      </c>
      <c r="Q59" s="369">
        <v>-19589.180000000168</v>
      </c>
    </row>
    <row r="60" spans="1:17" ht="12" customHeight="1">
      <c r="A60" s="93"/>
      <c r="B60" s="362" t="s">
        <v>314</v>
      </c>
      <c r="C60" s="363" t="s">
        <v>1272</v>
      </c>
      <c r="D60" s="363" t="s">
        <v>174</v>
      </c>
      <c r="E60" s="364" t="s">
        <v>1273</v>
      </c>
      <c r="F60" s="365">
        <v>10432105.59</v>
      </c>
      <c r="G60" s="364">
        <v>60</v>
      </c>
      <c r="H60" s="365">
        <v>9367191.3300000001</v>
      </c>
      <c r="I60" s="364">
        <v>60</v>
      </c>
      <c r="J60" s="366">
        <v>8229669.2000000002</v>
      </c>
      <c r="K60" s="367">
        <v>60</v>
      </c>
      <c r="L60" s="368">
        <v>7211606.6099999994</v>
      </c>
      <c r="M60" s="366">
        <v>60</v>
      </c>
      <c r="N60" s="366">
        <v>5932131.0600000005</v>
      </c>
      <c r="O60" s="366">
        <v>2652286.48</v>
      </c>
      <c r="P60" s="362">
        <v>0</v>
      </c>
      <c r="Q60" s="363">
        <v>4499974.5299999993</v>
      </c>
    </row>
    <row r="61" spans="1:17" ht="12" customHeight="1">
      <c r="A61" s="93"/>
      <c r="B61" s="369" t="s">
        <v>316</v>
      </c>
      <c r="C61" s="369" t="s">
        <v>1272</v>
      </c>
      <c r="D61" s="369" t="s">
        <v>135</v>
      </c>
      <c r="E61" s="370" t="s">
        <v>1271</v>
      </c>
      <c r="F61" s="377">
        <v>2659522.2999999998</v>
      </c>
      <c r="G61" s="378">
        <v>55</v>
      </c>
      <c r="H61" s="371">
        <v>2852403.39</v>
      </c>
      <c r="I61" s="370">
        <v>55</v>
      </c>
      <c r="J61" s="372">
        <v>2739085.5999999996</v>
      </c>
      <c r="K61" s="373">
        <v>55</v>
      </c>
      <c r="L61" s="374">
        <v>2659926.0099999998</v>
      </c>
      <c r="M61" s="372">
        <v>55</v>
      </c>
      <c r="N61" s="372">
        <v>2523718</v>
      </c>
      <c r="O61" s="372">
        <v>2530675.4900000002</v>
      </c>
      <c r="P61" s="369">
        <v>2463450.61</v>
      </c>
      <c r="Q61" s="369">
        <v>135804.29999999981</v>
      </c>
    </row>
    <row r="62" spans="1:17" ht="12" customHeight="1">
      <c r="A62" s="93"/>
      <c r="B62" s="362" t="s">
        <v>1291</v>
      </c>
      <c r="C62" s="363" t="s">
        <v>1272</v>
      </c>
      <c r="D62" s="363" t="s">
        <v>175</v>
      </c>
      <c r="E62" s="364" t="s">
        <v>1271</v>
      </c>
      <c r="F62" s="365">
        <v>7059472.5099999998</v>
      </c>
      <c r="G62" s="364">
        <v>80</v>
      </c>
      <c r="H62" s="365">
        <v>6279671.5999999996</v>
      </c>
      <c r="I62" s="364">
        <v>80</v>
      </c>
      <c r="J62" s="366">
        <v>5241486.25</v>
      </c>
      <c r="K62" s="367">
        <v>80</v>
      </c>
      <c r="L62" s="368">
        <v>5035092.8</v>
      </c>
      <c r="M62" s="366">
        <v>80</v>
      </c>
      <c r="N62" s="366">
        <v>4306975.91</v>
      </c>
      <c r="O62" s="366">
        <v>4615975.29</v>
      </c>
      <c r="P62" s="362">
        <v>5763479.04</v>
      </c>
      <c r="Q62" s="363">
        <v>2752496.5999999996</v>
      </c>
    </row>
    <row r="63" spans="1:17" ht="12" customHeight="1">
      <c r="A63" s="93"/>
      <c r="B63" s="369" t="s">
        <v>318</v>
      </c>
      <c r="C63" s="369" t="s">
        <v>1272</v>
      </c>
      <c r="D63" s="369" t="s">
        <v>154</v>
      </c>
      <c r="E63" s="370" t="s">
        <v>1273</v>
      </c>
      <c r="F63" s="377">
        <v>5282233.3599999994</v>
      </c>
      <c r="G63" s="378">
        <v>35</v>
      </c>
      <c r="H63" s="371">
        <v>4663348.0999999996</v>
      </c>
      <c r="I63" s="370">
        <v>35</v>
      </c>
      <c r="J63" s="372">
        <v>4691360.18</v>
      </c>
      <c r="K63" s="373">
        <v>35</v>
      </c>
      <c r="L63" s="374">
        <v>4903644.4000000004</v>
      </c>
      <c r="M63" s="372">
        <v>35</v>
      </c>
      <c r="N63" s="372">
        <v>4494892.18</v>
      </c>
      <c r="O63" s="372">
        <v>4272428.34</v>
      </c>
      <c r="P63" s="369">
        <v>3898089.35</v>
      </c>
      <c r="Q63" s="369">
        <v>787341.1799999997</v>
      </c>
    </row>
    <row r="64" spans="1:17" ht="12" customHeight="1">
      <c r="A64" s="93"/>
      <c r="B64" s="362" t="s">
        <v>1292</v>
      </c>
      <c r="C64" s="363" t="s">
        <v>1272</v>
      </c>
      <c r="D64" s="363" t="s">
        <v>154</v>
      </c>
      <c r="E64" s="364" t="s">
        <v>1271</v>
      </c>
      <c r="F64" s="365">
        <v>1792172.4300000002</v>
      </c>
      <c r="G64" s="364">
        <v>43</v>
      </c>
      <c r="H64" s="365">
        <v>1791047.91</v>
      </c>
      <c r="I64" s="364">
        <v>43</v>
      </c>
      <c r="J64" s="366">
        <v>1696006.45</v>
      </c>
      <c r="K64" s="367">
        <v>43</v>
      </c>
      <c r="L64" s="368">
        <v>1538319.23</v>
      </c>
      <c r="M64" s="366">
        <v>43</v>
      </c>
      <c r="N64" s="366">
        <v>1587064.38</v>
      </c>
      <c r="O64" s="366">
        <v>1507534.79</v>
      </c>
      <c r="P64" s="362">
        <v>1548497.67</v>
      </c>
      <c r="Q64" s="363">
        <v>205108.05000000028</v>
      </c>
    </row>
    <row r="65" spans="1:17" ht="12" customHeight="1">
      <c r="A65" s="93"/>
      <c r="B65" s="369" t="s">
        <v>322</v>
      </c>
      <c r="C65" s="369" t="s">
        <v>1272</v>
      </c>
      <c r="D65" s="369" t="s">
        <v>174</v>
      </c>
      <c r="E65" s="370" t="s">
        <v>1273</v>
      </c>
      <c r="F65" s="377">
        <v>17944002.759999998</v>
      </c>
      <c r="G65" s="378">
        <v>96</v>
      </c>
      <c r="H65" s="371">
        <v>17442369.940000001</v>
      </c>
      <c r="I65" s="370">
        <v>96</v>
      </c>
      <c r="J65" s="372">
        <v>17380639.68</v>
      </c>
      <c r="K65" s="373">
        <v>96</v>
      </c>
      <c r="L65" s="374">
        <v>17167997.990000002</v>
      </c>
      <c r="M65" s="372">
        <v>96</v>
      </c>
      <c r="N65" s="372">
        <v>18124038.25</v>
      </c>
      <c r="O65" s="372">
        <v>17846734.66</v>
      </c>
      <c r="P65" s="369">
        <v>17937769.98</v>
      </c>
      <c r="Q65" s="369">
        <v>-180035.49000000209</v>
      </c>
    </row>
    <row r="66" spans="1:17" ht="12" customHeight="1">
      <c r="A66" s="93"/>
      <c r="B66" s="362" t="s">
        <v>324</v>
      </c>
      <c r="C66" s="363" t="s">
        <v>1272</v>
      </c>
      <c r="D66" s="363" t="s">
        <v>38</v>
      </c>
      <c r="E66" s="364" t="s">
        <v>1273</v>
      </c>
      <c r="F66" s="365">
        <v>10596157.07</v>
      </c>
      <c r="G66" s="364">
        <v>73</v>
      </c>
      <c r="H66" s="365">
        <v>10244863.210000001</v>
      </c>
      <c r="I66" s="364">
        <v>73</v>
      </c>
      <c r="J66" s="366">
        <v>10441769.16</v>
      </c>
      <c r="K66" s="367">
        <v>73</v>
      </c>
      <c r="L66" s="368">
        <v>11288659.24</v>
      </c>
      <c r="M66" s="366">
        <v>73</v>
      </c>
      <c r="N66" s="366">
        <v>11535935.6</v>
      </c>
      <c r="O66" s="366">
        <v>12011288.649999999</v>
      </c>
      <c r="P66" s="362">
        <v>12120741.82</v>
      </c>
      <c r="Q66" s="363">
        <v>-939778.52999999933</v>
      </c>
    </row>
    <row r="67" spans="1:17" ht="12" customHeight="1">
      <c r="A67" s="93"/>
      <c r="B67" s="369" t="s">
        <v>1518</v>
      </c>
      <c r="C67" s="369" t="s">
        <v>1272</v>
      </c>
      <c r="D67" s="369" t="s">
        <v>124</v>
      </c>
      <c r="E67" s="370" t="s">
        <v>1273</v>
      </c>
      <c r="F67" s="377">
        <v>5877188.0199999996</v>
      </c>
      <c r="G67" s="378">
        <v>50</v>
      </c>
      <c r="H67" s="371">
        <v>6530753.1199999992</v>
      </c>
      <c r="I67" s="370">
        <v>50</v>
      </c>
      <c r="J67" s="372">
        <v>6414275.2599999998</v>
      </c>
      <c r="K67" s="373">
        <v>50</v>
      </c>
      <c r="L67" s="374">
        <v>6457301.9100000001</v>
      </c>
      <c r="M67" s="372">
        <v>50</v>
      </c>
      <c r="N67" s="372">
        <v>6235983.1199999992</v>
      </c>
      <c r="O67" s="372">
        <v>6400706.8599999994</v>
      </c>
      <c r="P67" s="369">
        <v>6765202.9000000004</v>
      </c>
      <c r="Q67" s="369">
        <v>-358795.09999999963</v>
      </c>
    </row>
    <row r="68" spans="1:17" ht="12" customHeight="1">
      <c r="A68" s="93"/>
      <c r="B68" s="362" t="s">
        <v>326</v>
      </c>
      <c r="C68" s="363" t="s">
        <v>1272</v>
      </c>
      <c r="D68" s="363" t="s">
        <v>115</v>
      </c>
      <c r="E68" s="364" t="s">
        <v>1271</v>
      </c>
      <c r="F68" s="365">
        <v>9366969</v>
      </c>
      <c r="G68" s="364">
        <v>105</v>
      </c>
      <c r="H68" s="365">
        <v>9830357.3300000001</v>
      </c>
      <c r="I68" s="364">
        <v>105</v>
      </c>
      <c r="J68" s="366">
        <v>10241019.35</v>
      </c>
      <c r="K68" s="367">
        <v>105</v>
      </c>
      <c r="L68" s="368">
        <v>11086056.359999999</v>
      </c>
      <c r="M68" s="366">
        <v>88</v>
      </c>
      <c r="N68" s="366">
        <v>11218364.300000001</v>
      </c>
      <c r="O68" s="366">
        <v>10432172.02</v>
      </c>
      <c r="P68" s="362">
        <v>10341966.640000001</v>
      </c>
      <c r="Q68" s="363">
        <v>-1851395.3000000007</v>
      </c>
    </row>
    <row r="69" spans="1:17" ht="12" customHeight="1">
      <c r="A69" s="93"/>
      <c r="B69" s="369" t="s">
        <v>1293</v>
      </c>
      <c r="C69" s="369" t="s">
        <v>1272</v>
      </c>
      <c r="D69" s="369" t="s">
        <v>115</v>
      </c>
      <c r="E69" s="370" t="s">
        <v>1273</v>
      </c>
      <c r="F69" s="377">
        <v>2232522.04</v>
      </c>
      <c r="G69" s="378">
        <v>40</v>
      </c>
      <c r="H69" s="371">
        <v>2485334.94</v>
      </c>
      <c r="I69" s="370">
        <v>40</v>
      </c>
      <c r="J69" s="372">
        <v>2334443.4699999997</v>
      </c>
      <c r="K69" s="373">
        <v>40</v>
      </c>
      <c r="L69" s="374">
        <v>1875224.78</v>
      </c>
      <c r="M69" s="372">
        <v>40</v>
      </c>
      <c r="N69" s="372">
        <v>1201157.77</v>
      </c>
      <c r="O69" s="372">
        <v>0</v>
      </c>
      <c r="P69" s="369">
        <v>0</v>
      </c>
      <c r="Q69" s="369">
        <v>1031364.27</v>
      </c>
    </row>
    <row r="70" spans="1:17" ht="12" customHeight="1">
      <c r="A70" s="93"/>
      <c r="B70" s="362" t="s">
        <v>328</v>
      </c>
      <c r="C70" s="363" t="s">
        <v>1272</v>
      </c>
      <c r="D70" s="363" t="s">
        <v>174</v>
      </c>
      <c r="E70" s="364" t="s">
        <v>1271</v>
      </c>
      <c r="F70" s="365">
        <v>6552411.9900000002</v>
      </c>
      <c r="G70" s="364">
        <v>75</v>
      </c>
      <c r="H70" s="365">
        <v>6599093.0300000003</v>
      </c>
      <c r="I70" s="364">
        <v>75</v>
      </c>
      <c r="J70" s="366">
        <v>6870665.4699999997</v>
      </c>
      <c r="K70" s="367">
        <v>75</v>
      </c>
      <c r="L70" s="368">
        <v>6712666.2599999998</v>
      </c>
      <c r="M70" s="366">
        <v>75</v>
      </c>
      <c r="N70" s="366">
        <v>6115346.9900000002</v>
      </c>
      <c r="O70" s="366">
        <v>5800974.8099999996</v>
      </c>
      <c r="P70" s="362">
        <v>5359977</v>
      </c>
      <c r="Q70" s="363">
        <v>437065</v>
      </c>
    </row>
    <row r="71" spans="1:17" ht="12" customHeight="1">
      <c r="A71" s="93"/>
      <c r="B71" s="369" t="s">
        <v>1416</v>
      </c>
      <c r="C71" s="369" t="s">
        <v>1272</v>
      </c>
      <c r="D71" s="369" t="s">
        <v>115</v>
      </c>
      <c r="E71" s="370" t="s">
        <v>1273</v>
      </c>
      <c r="F71" s="377">
        <v>5712499.3300000001</v>
      </c>
      <c r="G71" s="378">
        <v>50</v>
      </c>
      <c r="H71" s="371">
        <v>6184479.21</v>
      </c>
      <c r="I71" s="370">
        <v>50</v>
      </c>
      <c r="J71" s="372">
        <v>5873218.8099999996</v>
      </c>
      <c r="K71" s="373">
        <v>50</v>
      </c>
      <c r="L71" s="374"/>
      <c r="M71" s="372"/>
      <c r="N71" s="372"/>
      <c r="O71" s="372"/>
      <c r="P71" s="369"/>
      <c r="Q71" s="369">
        <v>5712499.3300000001</v>
      </c>
    </row>
    <row r="72" spans="1:17" ht="12" customHeight="1">
      <c r="A72" s="93"/>
      <c r="B72" s="362" t="s">
        <v>330</v>
      </c>
      <c r="C72" s="363" t="s">
        <v>1272</v>
      </c>
      <c r="D72" s="363" t="s">
        <v>124</v>
      </c>
      <c r="E72" s="364" t="s">
        <v>1271</v>
      </c>
      <c r="F72" s="365">
        <v>10856077.43</v>
      </c>
      <c r="G72" s="364">
        <v>105</v>
      </c>
      <c r="H72" s="365">
        <v>11504244.51</v>
      </c>
      <c r="I72" s="364">
        <v>105</v>
      </c>
      <c r="J72" s="366">
        <v>11772155.140000001</v>
      </c>
      <c r="K72" s="367">
        <v>105</v>
      </c>
      <c r="L72" s="368">
        <v>11730269.890000001</v>
      </c>
      <c r="M72" s="366">
        <v>105</v>
      </c>
      <c r="N72" s="366">
        <v>11263575.75</v>
      </c>
      <c r="O72" s="366">
        <v>11771962.74</v>
      </c>
      <c r="P72" s="362">
        <v>11671166.880000001</v>
      </c>
      <c r="Q72" s="363">
        <v>-407498.3200000003</v>
      </c>
    </row>
    <row r="73" spans="1:17" ht="12" customHeight="1">
      <c r="A73" s="93"/>
      <c r="B73" s="369" t="s">
        <v>332</v>
      </c>
      <c r="C73" s="369" t="s">
        <v>1272</v>
      </c>
      <c r="D73" s="369" t="s">
        <v>124</v>
      </c>
      <c r="E73" s="370" t="s">
        <v>1271</v>
      </c>
      <c r="F73" s="377">
        <v>2445182.6799999997</v>
      </c>
      <c r="G73" s="378">
        <v>52</v>
      </c>
      <c r="H73" s="371">
        <v>2558423.34</v>
      </c>
      <c r="I73" s="370">
        <v>52</v>
      </c>
      <c r="J73" s="372">
        <v>2555565.9500000002</v>
      </c>
      <c r="K73" s="373">
        <v>52</v>
      </c>
      <c r="L73" s="374">
        <v>2595515.62</v>
      </c>
      <c r="M73" s="372">
        <v>52</v>
      </c>
      <c r="N73" s="372">
        <v>2477966.4900000002</v>
      </c>
      <c r="O73" s="372">
        <v>2017997.1400000001</v>
      </c>
      <c r="P73" s="369">
        <v>1977803.55</v>
      </c>
      <c r="Q73" s="369">
        <v>-32783.810000000522</v>
      </c>
    </row>
    <row r="74" spans="1:17" ht="12" customHeight="1">
      <c r="A74" s="93"/>
      <c r="B74" s="362" t="s">
        <v>336</v>
      </c>
      <c r="C74" s="363" t="s">
        <v>1272</v>
      </c>
      <c r="D74" s="363" t="s">
        <v>151</v>
      </c>
      <c r="E74" s="364" t="s">
        <v>1273</v>
      </c>
      <c r="F74" s="365">
        <v>9064057.2699999996</v>
      </c>
      <c r="G74" s="364">
        <v>65</v>
      </c>
      <c r="H74" s="365">
        <v>8292614.5999999996</v>
      </c>
      <c r="I74" s="364">
        <v>65</v>
      </c>
      <c r="J74" s="366">
        <v>7688843.0500000007</v>
      </c>
      <c r="K74" s="367">
        <v>51</v>
      </c>
      <c r="L74" s="368">
        <v>8765891.4600000009</v>
      </c>
      <c r="M74" s="366">
        <v>65</v>
      </c>
      <c r="N74" s="366">
        <v>9268565.129999999</v>
      </c>
      <c r="O74" s="366">
        <v>6692839.2300000004</v>
      </c>
      <c r="P74" s="362">
        <v>9135731.1500000004</v>
      </c>
      <c r="Q74" s="363">
        <v>-204507.8599999994</v>
      </c>
    </row>
    <row r="75" spans="1:17" ht="12" customHeight="1">
      <c r="A75" s="93"/>
      <c r="B75" s="369" t="s">
        <v>338</v>
      </c>
      <c r="C75" s="369" t="s">
        <v>1274</v>
      </c>
      <c r="D75" s="369" t="s">
        <v>190</v>
      </c>
      <c r="E75" s="370" t="s">
        <v>1271</v>
      </c>
      <c r="F75" s="377">
        <v>1048909.98</v>
      </c>
      <c r="G75" s="378">
        <v>33</v>
      </c>
      <c r="H75" s="371">
        <v>1216246.24</v>
      </c>
      <c r="I75" s="370">
        <v>33</v>
      </c>
      <c r="J75" s="372">
        <v>1166113.3500000001</v>
      </c>
      <c r="K75" s="373">
        <v>33</v>
      </c>
      <c r="L75" s="374">
        <v>1221793.27</v>
      </c>
      <c r="M75" s="372">
        <v>33</v>
      </c>
      <c r="N75" s="372">
        <v>1335707.93</v>
      </c>
      <c r="O75" s="372">
        <v>1388234.88</v>
      </c>
      <c r="P75" s="369">
        <v>1431964.53</v>
      </c>
      <c r="Q75" s="369">
        <v>-286797.94999999995</v>
      </c>
    </row>
    <row r="76" spans="1:17" ht="12" customHeight="1">
      <c r="A76" s="93"/>
      <c r="B76" s="362" t="s">
        <v>1294</v>
      </c>
      <c r="C76" s="363" t="s">
        <v>1272</v>
      </c>
      <c r="D76" s="363" t="s">
        <v>38</v>
      </c>
      <c r="E76" s="364" t="s">
        <v>1273</v>
      </c>
      <c r="F76" s="365">
        <v>15101464.890000001</v>
      </c>
      <c r="G76" s="364">
        <v>90</v>
      </c>
      <c r="H76" s="365">
        <v>16011284.6</v>
      </c>
      <c r="I76" s="364">
        <v>90</v>
      </c>
      <c r="J76" s="366">
        <v>15978991.15</v>
      </c>
      <c r="K76" s="367">
        <v>90</v>
      </c>
      <c r="L76" s="368">
        <v>15118355.99</v>
      </c>
      <c r="M76" s="366">
        <v>90</v>
      </c>
      <c r="N76" s="366">
        <v>14426552.469999999</v>
      </c>
      <c r="O76" s="366">
        <v>14357483.41</v>
      </c>
      <c r="P76" s="362">
        <v>13241380.190000001</v>
      </c>
      <c r="Q76" s="363">
        <v>674912.42000000179</v>
      </c>
    </row>
    <row r="77" spans="1:17" ht="12" customHeight="1">
      <c r="A77" s="93"/>
      <c r="B77" s="369" t="s">
        <v>340</v>
      </c>
      <c r="C77" s="369" t="s">
        <v>1272</v>
      </c>
      <c r="D77" s="369" t="s">
        <v>137</v>
      </c>
      <c r="E77" s="370" t="s">
        <v>1273</v>
      </c>
      <c r="F77" s="377">
        <v>5726541.0600000005</v>
      </c>
      <c r="G77" s="378">
        <v>40</v>
      </c>
      <c r="H77" s="371">
        <v>5851596.8799999999</v>
      </c>
      <c r="I77" s="370">
        <v>40</v>
      </c>
      <c r="J77" s="372">
        <v>5098900.3</v>
      </c>
      <c r="K77" s="373">
        <v>40</v>
      </c>
      <c r="L77" s="374">
        <v>5186944.18</v>
      </c>
      <c r="M77" s="372">
        <v>40</v>
      </c>
      <c r="N77" s="372">
        <v>4921719.08</v>
      </c>
      <c r="O77" s="372">
        <v>4736676.04</v>
      </c>
      <c r="P77" s="369">
        <v>4776502.8899999997</v>
      </c>
      <c r="Q77" s="369">
        <v>804821.98000000045</v>
      </c>
    </row>
    <row r="78" spans="1:17" ht="12" customHeight="1">
      <c r="A78" s="93"/>
      <c r="B78" s="362" t="s">
        <v>342</v>
      </c>
      <c r="C78" s="363" t="s">
        <v>1272</v>
      </c>
      <c r="D78" s="363" t="s">
        <v>137</v>
      </c>
      <c r="E78" s="364" t="s">
        <v>1271</v>
      </c>
      <c r="F78" s="365">
        <v>2903028.87</v>
      </c>
      <c r="G78" s="364">
        <v>41</v>
      </c>
      <c r="H78" s="365">
        <v>3199919.11</v>
      </c>
      <c r="I78" s="364">
        <v>41</v>
      </c>
      <c r="J78" s="366">
        <v>2977865</v>
      </c>
      <c r="K78" s="367">
        <v>41</v>
      </c>
      <c r="L78" s="368">
        <v>2354353.14</v>
      </c>
      <c r="M78" s="366">
        <v>41</v>
      </c>
      <c r="N78" s="366">
        <v>1977219.17</v>
      </c>
      <c r="O78" s="366">
        <v>2110605.87</v>
      </c>
      <c r="P78" s="362">
        <v>1995730.59</v>
      </c>
      <c r="Q78" s="363">
        <v>925809.70000000019</v>
      </c>
    </row>
    <row r="79" spans="1:17" ht="12" customHeight="1">
      <c r="A79" s="93"/>
      <c r="B79" s="369" t="s">
        <v>344</v>
      </c>
      <c r="C79" s="369" t="s">
        <v>1272</v>
      </c>
      <c r="D79" s="369" t="s">
        <v>142</v>
      </c>
      <c r="E79" s="370" t="s">
        <v>1273</v>
      </c>
      <c r="F79" s="377">
        <v>7596018.8200000003</v>
      </c>
      <c r="G79" s="378">
        <v>50</v>
      </c>
      <c r="H79" s="371">
        <v>7665090.6799999997</v>
      </c>
      <c r="I79" s="370">
        <v>50</v>
      </c>
      <c r="J79" s="372">
        <v>7077509.4000000004</v>
      </c>
      <c r="K79" s="373">
        <v>50</v>
      </c>
      <c r="L79" s="374">
        <v>7513788.3699999992</v>
      </c>
      <c r="M79" s="372">
        <v>50</v>
      </c>
      <c r="N79" s="372">
        <v>7932488.1200000001</v>
      </c>
      <c r="O79" s="372">
        <v>7281941.4000000004</v>
      </c>
      <c r="P79" s="369">
        <v>7111498.8500000006</v>
      </c>
      <c r="Q79" s="369">
        <v>-336469.29999999981</v>
      </c>
    </row>
    <row r="80" spans="1:17" ht="12" customHeight="1">
      <c r="A80" s="93"/>
      <c r="B80" s="362" t="s">
        <v>346</v>
      </c>
      <c r="C80" s="363" t="s">
        <v>1272</v>
      </c>
      <c r="D80" s="363" t="s">
        <v>177</v>
      </c>
      <c r="E80" s="364" t="s">
        <v>1271</v>
      </c>
      <c r="F80" s="365">
        <v>1337326.0299999998</v>
      </c>
      <c r="G80" s="364">
        <v>36</v>
      </c>
      <c r="H80" s="365">
        <v>1222694.92</v>
      </c>
      <c r="I80" s="364">
        <v>37</v>
      </c>
      <c r="J80" s="366">
        <v>1184068.6299999999</v>
      </c>
      <c r="K80" s="367">
        <v>37</v>
      </c>
      <c r="L80" s="368">
        <v>1094702.54</v>
      </c>
      <c r="M80" s="366">
        <v>37</v>
      </c>
      <c r="N80" s="366">
        <v>982502.5</v>
      </c>
      <c r="O80" s="366">
        <v>1173399.1299999999</v>
      </c>
      <c r="P80" s="362">
        <v>1227489.76</v>
      </c>
      <c r="Q80" s="363">
        <v>354823.5299999998</v>
      </c>
    </row>
    <row r="81" spans="1:17" ht="12" customHeight="1">
      <c r="A81" s="93"/>
      <c r="B81" s="369" t="s">
        <v>348</v>
      </c>
      <c r="C81" s="369" t="s">
        <v>1274</v>
      </c>
      <c r="D81" s="369" t="s">
        <v>118</v>
      </c>
      <c r="E81" s="370" t="s">
        <v>1271</v>
      </c>
      <c r="F81" s="377">
        <v>1209443.75</v>
      </c>
      <c r="G81" s="378">
        <v>20</v>
      </c>
      <c r="H81" s="371">
        <v>1328451.23</v>
      </c>
      <c r="I81" s="370">
        <v>20</v>
      </c>
      <c r="J81" s="372">
        <v>1156551.3199999998</v>
      </c>
      <c r="K81" s="373">
        <v>20</v>
      </c>
      <c r="L81" s="374">
        <v>1184789.2000000002</v>
      </c>
      <c r="M81" s="372">
        <v>20</v>
      </c>
      <c r="N81" s="372">
        <v>1095029.25</v>
      </c>
      <c r="O81" s="372">
        <v>1132717.1400000001</v>
      </c>
      <c r="P81" s="369">
        <v>1100142.73</v>
      </c>
      <c r="Q81" s="369">
        <v>114414.5</v>
      </c>
    </row>
    <row r="82" spans="1:17" ht="12" customHeight="1">
      <c r="A82" s="93"/>
      <c r="B82" s="362" t="s">
        <v>350</v>
      </c>
      <c r="C82" s="363" t="s">
        <v>1274</v>
      </c>
      <c r="D82" s="363" t="s">
        <v>127</v>
      </c>
      <c r="E82" s="364" t="s">
        <v>1273</v>
      </c>
      <c r="F82" s="365">
        <v>1200951.72</v>
      </c>
      <c r="G82" s="364">
        <v>39</v>
      </c>
      <c r="H82" s="365">
        <v>606926.52</v>
      </c>
      <c r="I82" s="364">
        <v>0</v>
      </c>
      <c r="J82" s="366">
        <v>3022753.8200000003</v>
      </c>
      <c r="K82" s="367">
        <v>39</v>
      </c>
      <c r="L82" s="368">
        <v>3261480.54</v>
      </c>
      <c r="M82" s="366">
        <v>38</v>
      </c>
      <c r="N82" s="366">
        <v>3292400.69</v>
      </c>
      <c r="O82" s="366">
        <v>3313564.73</v>
      </c>
      <c r="P82" s="362">
        <v>3630545.44</v>
      </c>
      <c r="Q82" s="363">
        <v>-2091448.97</v>
      </c>
    </row>
    <row r="83" spans="1:17" ht="12" customHeight="1">
      <c r="A83" s="93"/>
      <c r="B83" s="369" t="s">
        <v>352</v>
      </c>
      <c r="C83" s="369" t="s">
        <v>1274</v>
      </c>
      <c r="D83" s="369" t="s">
        <v>179</v>
      </c>
      <c r="E83" s="370" t="s">
        <v>1271</v>
      </c>
      <c r="F83" s="377">
        <v>3396404.33</v>
      </c>
      <c r="G83" s="378">
        <v>38</v>
      </c>
      <c r="H83" s="371">
        <v>3514579.16</v>
      </c>
      <c r="I83" s="370">
        <v>38</v>
      </c>
      <c r="J83" s="372">
        <v>3553079.26</v>
      </c>
      <c r="K83" s="373">
        <v>38</v>
      </c>
      <c r="L83" s="374">
        <v>3447866.9</v>
      </c>
      <c r="M83" s="372">
        <v>38</v>
      </c>
      <c r="N83" s="372">
        <v>3462009.26</v>
      </c>
      <c r="O83" s="372">
        <v>2992705.34</v>
      </c>
      <c r="P83" s="369">
        <v>2710125</v>
      </c>
      <c r="Q83" s="369">
        <v>-65604.929999999702</v>
      </c>
    </row>
    <row r="84" spans="1:17" ht="12" customHeight="1">
      <c r="A84" s="93"/>
      <c r="B84" s="362" t="s">
        <v>354</v>
      </c>
      <c r="C84" s="363" t="s">
        <v>1272</v>
      </c>
      <c r="D84" s="363" t="s">
        <v>137</v>
      </c>
      <c r="E84" s="364" t="s">
        <v>1271</v>
      </c>
      <c r="F84" s="365">
        <v>2200725.0300000003</v>
      </c>
      <c r="G84" s="364">
        <v>29</v>
      </c>
      <c r="H84" s="365">
        <v>1954907.52</v>
      </c>
      <c r="I84" s="364">
        <v>29</v>
      </c>
      <c r="J84" s="366">
        <v>1718368.0699999998</v>
      </c>
      <c r="K84" s="367">
        <v>29</v>
      </c>
      <c r="L84" s="368">
        <v>1549450.5100000002</v>
      </c>
      <c r="M84" s="366">
        <v>29</v>
      </c>
      <c r="N84" s="366">
        <v>1509174.71</v>
      </c>
      <c r="O84" s="366">
        <v>1665803.5</v>
      </c>
      <c r="P84" s="362">
        <v>1677752.69</v>
      </c>
      <c r="Q84" s="363">
        <v>691550.3200000003</v>
      </c>
    </row>
    <row r="85" spans="1:17" ht="12" customHeight="1">
      <c r="A85" s="93"/>
      <c r="B85" s="369" t="s">
        <v>1426</v>
      </c>
      <c r="C85" s="369" t="s">
        <v>1272</v>
      </c>
      <c r="D85" s="369" t="s">
        <v>151</v>
      </c>
      <c r="E85" s="370" t="s">
        <v>1273</v>
      </c>
      <c r="F85" s="377">
        <v>5957951.2599999998</v>
      </c>
      <c r="G85" s="378">
        <v>35</v>
      </c>
      <c r="H85" s="371">
        <v>5582899.6199999992</v>
      </c>
      <c r="I85" s="370">
        <v>35</v>
      </c>
      <c r="J85" s="372">
        <v>5068522.59</v>
      </c>
      <c r="K85" s="373">
        <v>35</v>
      </c>
      <c r="L85" s="374">
        <v>4484231.5999999996</v>
      </c>
      <c r="M85" s="372">
        <v>35</v>
      </c>
      <c r="N85" s="372">
        <v>5012697.6500000004</v>
      </c>
      <c r="O85" s="372">
        <v>4889811.42</v>
      </c>
      <c r="P85" s="369">
        <v>4911752.46</v>
      </c>
      <c r="Q85" s="369">
        <v>945253.6099999994</v>
      </c>
    </row>
    <row r="86" spans="1:17" ht="12" customHeight="1">
      <c r="A86" s="93"/>
      <c r="B86" s="362" t="s">
        <v>356</v>
      </c>
      <c r="C86" s="363" t="s">
        <v>1272</v>
      </c>
      <c r="D86" s="363" t="s">
        <v>151</v>
      </c>
      <c r="E86" s="364" t="s">
        <v>1271</v>
      </c>
      <c r="F86" s="365">
        <v>3731486.8</v>
      </c>
      <c r="G86" s="364">
        <v>71</v>
      </c>
      <c r="H86" s="365">
        <v>3311685.66</v>
      </c>
      <c r="I86" s="364">
        <v>71</v>
      </c>
      <c r="J86" s="366">
        <v>3834747.63</v>
      </c>
      <c r="K86" s="367">
        <v>71</v>
      </c>
      <c r="L86" s="368">
        <v>3778941.54</v>
      </c>
      <c r="M86" s="366">
        <v>71</v>
      </c>
      <c r="N86" s="366">
        <v>3905903.1900000004</v>
      </c>
      <c r="O86" s="366">
        <v>3712641.11</v>
      </c>
      <c r="P86" s="362">
        <v>3757966.22</v>
      </c>
      <c r="Q86" s="363">
        <v>-174416.3900000006</v>
      </c>
    </row>
    <row r="87" spans="1:17" ht="12" customHeight="1">
      <c r="A87" s="93"/>
      <c r="B87" s="369" t="s">
        <v>358</v>
      </c>
      <c r="C87" s="369" t="s">
        <v>1274</v>
      </c>
      <c r="D87" s="369" t="s">
        <v>129</v>
      </c>
      <c r="E87" s="370" t="s">
        <v>1271</v>
      </c>
      <c r="F87" s="377">
        <v>3857370.88</v>
      </c>
      <c r="G87" s="378">
        <v>40</v>
      </c>
      <c r="H87" s="371">
        <v>3854042.8</v>
      </c>
      <c r="I87" s="370">
        <v>40</v>
      </c>
      <c r="J87" s="372">
        <v>3457197.2</v>
      </c>
      <c r="K87" s="373">
        <v>40</v>
      </c>
      <c r="L87" s="374">
        <v>3308352.46</v>
      </c>
      <c r="M87" s="372">
        <v>40</v>
      </c>
      <c r="N87" s="372">
        <v>3243276.23</v>
      </c>
      <c r="O87" s="372">
        <v>3082922.4</v>
      </c>
      <c r="P87" s="369">
        <v>2913362.28</v>
      </c>
      <c r="Q87" s="369">
        <v>614094.64999999991</v>
      </c>
    </row>
    <row r="88" spans="1:17" ht="12" customHeight="1">
      <c r="A88" s="93"/>
      <c r="B88" s="362" t="s">
        <v>360</v>
      </c>
      <c r="C88" s="363" t="s">
        <v>1272</v>
      </c>
      <c r="D88" s="363" t="s">
        <v>146</v>
      </c>
      <c r="E88" s="364" t="s">
        <v>1271</v>
      </c>
      <c r="F88" s="365">
        <v>11701898.99</v>
      </c>
      <c r="G88" s="364">
        <v>100</v>
      </c>
      <c r="H88" s="365">
        <v>10536357.289999999</v>
      </c>
      <c r="I88" s="364">
        <v>100</v>
      </c>
      <c r="J88" s="366">
        <v>10478362.92</v>
      </c>
      <c r="K88" s="367">
        <v>100</v>
      </c>
      <c r="L88" s="368">
        <v>9766899.0899999999</v>
      </c>
      <c r="M88" s="366">
        <v>100</v>
      </c>
      <c r="N88" s="366">
        <v>9089967.8200000003</v>
      </c>
      <c r="O88" s="366">
        <v>8532975.75</v>
      </c>
      <c r="P88" s="362">
        <v>8494296.1999999993</v>
      </c>
      <c r="Q88" s="363">
        <v>2611931.17</v>
      </c>
    </row>
    <row r="89" spans="1:17" ht="12" customHeight="1">
      <c r="A89" s="93"/>
      <c r="B89" s="369" t="s">
        <v>1425</v>
      </c>
      <c r="C89" s="369" t="s">
        <v>1272</v>
      </c>
      <c r="D89" s="369" t="s">
        <v>147</v>
      </c>
      <c r="E89" s="370" t="s">
        <v>1271</v>
      </c>
      <c r="F89" s="377">
        <v>8902298.6600000001</v>
      </c>
      <c r="G89" s="378">
        <v>66</v>
      </c>
      <c r="H89" s="371"/>
      <c r="I89" s="370"/>
      <c r="J89" s="372"/>
      <c r="K89" s="373"/>
      <c r="L89" s="374"/>
      <c r="M89" s="372"/>
      <c r="N89" s="372"/>
      <c r="O89" s="372"/>
      <c r="P89" s="369"/>
      <c r="Q89" s="369">
        <v>8902298.6600000001</v>
      </c>
    </row>
    <row r="90" spans="1:17" ht="12" customHeight="1">
      <c r="A90" s="93"/>
      <c r="B90" s="362" t="s">
        <v>364</v>
      </c>
      <c r="C90" s="363" t="s">
        <v>1272</v>
      </c>
      <c r="D90" s="363" t="s">
        <v>145</v>
      </c>
      <c r="E90" s="364" t="s">
        <v>1273</v>
      </c>
      <c r="F90" s="365">
        <v>4920347.0199999996</v>
      </c>
      <c r="G90" s="364">
        <v>75</v>
      </c>
      <c r="H90" s="365">
        <v>5193677.71</v>
      </c>
      <c r="I90" s="364">
        <v>75</v>
      </c>
      <c r="J90" s="366">
        <v>4878672.47</v>
      </c>
      <c r="K90" s="367">
        <v>75</v>
      </c>
      <c r="L90" s="368">
        <v>5157205.16</v>
      </c>
      <c r="M90" s="366">
        <v>75</v>
      </c>
      <c r="N90" s="366">
        <v>4362762.75</v>
      </c>
      <c r="O90" s="366">
        <v>4390631.2799999993</v>
      </c>
      <c r="P90" s="362">
        <v>4552309.2300000004</v>
      </c>
      <c r="Q90" s="363">
        <v>557584.26999999955</v>
      </c>
    </row>
    <row r="91" spans="1:17" ht="12" customHeight="1">
      <c r="A91" s="93"/>
      <c r="B91" s="369" t="s">
        <v>366</v>
      </c>
      <c r="C91" s="369" t="s">
        <v>1272</v>
      </c>
      <c r="D91" s="369" t="s">
        <v>138</v>
      </c>
      <c r="E91" s="370" t="s">
        <v>1273</v>
      </c>
      <c r="F91" s="377">
        <v>4851253.12</v>
      </c>
      <c r="G91" s="378">
        <v>40</v>
      </c>
      <c r="H91" s="371">
        <v>4910024.75</v>
      </c>
      <c r="I91" s="370">
        <v>40</v>
      </c>
      <c r="J91" s="372">
        <v>4571459.68</v>
      </c>
      <c r="K91" s="373">
        <v>40</v>
      </c>
      <c r="L91" s="374">
        <v>5372973.4399999995</v>
      </c>
      <c r="M91" s="372">
        <v>40</v>
      </c>
      <c r="N91" s="372">
        <v>5337224.1399999997</v>
      </c>
      <c r="O91" s="372">
        <v>4979764.7300000004</v>
      </c>
      <c r="P91" s="369">
        <v>5234707.68</v>
      </c>
      <c r="Q91" s="369">
        <v>-485971.01999999955</v>
      </c>
    </row>
    <row r="92" spans="1:17" ht="12" customHeight="1">
      <c r="A92" s="93"/>
      <c r="B92" s="362" t="s">
        <v>368</v>
      </c>
      <c r="C92" s="363" t="s">
        <v>1274</v>
      </c>
      <c r="D92" s="363" t="s">
        <v>108</v>
      </c>
      <c r="E92" s="364" t="s">
        <v>1273</v>
      </c>
      <c r="F92" s="365">
        <v>2313312.9699999997</v>
      </c>
      <c r="G92" s="364">
        <v>30</v>
      </c>
      <c r="H92" s="365">
        <v>2082889.71</v>
      </c>
      <c r="I92" s="364">
        <v>30</v>
      </c>
      <c r="J92" s="366">
        <v>2301747.75</v>
      </c>
      <c r="K92" s="367">
        <v>30</v>
      </c>
      <c r="L92" s="368">
        <v>2123462.62</v>
      </c>
      <c r="M92" s="366">
        <v>30</v>
      </c>
      <c r="N92" s="366">
        <v>2251586.64</v>
      </c>
      <c r="O92" s="366">
        <v>2414345.84</v>
      </c>
      <c r="P92" s="362">
        <v>2425150.52</v>
      </c>
      <c r="Q92" s="363">
        <v>61726.329999999609</v>
      </c>
    </row>
    <row r="93" spans="1:17" ht="12" customHeight="1">
      <c r="A93" s="93"/>
      <c r="B93" s="369" t="s">
        <v>370</v>
      </c>
      <c r="C93" s="369" t="s">
        <v>1272</v>
      </c>
      <c r="D93" s="369" t="s">
        <v>112</v>
      </c>
      <c r="E93" s="370" t="s">
        <v>1271</v>
      </c>
      <c r="F93" s="377">
        <v>5493566.9000000004</v>
      </c>
      <c r="G93" s="378">
        <v>60</v>
      </c>
      <c r="H93" s="371">
        <v>5482277.1500000004</v>
      </c>
      <c r="I93" s="370">
        <v>60</v>
      </c>
      <c r="J93" s="372">
        <v>5714444.96</v>
      </c>
      <c r="K93" s="373">
        <v>60</v>
      </c>
      <c r="L93" s="374">
        <v>6173930.8499999996</v>
      </c>
      <c r="M93" s="372">
        <v>60</v>
      </c>
      <c r="N93" s="372">
        <v>5629194.7699999996</v>
      </c>
      <c r="O93" s="372">
        <v>5716235.2300000004</v>
      </c>
      <c r="P93" s="369">
        <v>4706640.96</v>
      </c>
      <c r="Q93" s="369">
        <v>-135627.86999999918</v>
      </c>
    </row>
    <row r="94" spans="1:17" ht="12" customHeight="1">
      <c r="A94" s="93"/>
      <c r="B94" s="362" t="s">
        <v>372</v>
      </c>
      <c r="C94" s="363" t="s">
        <v>1272</v>
      </c>
      <c r="D94" s="363" t="s">
        <v>145</v>
      </c>
      <c r="E94" s="364" t="s">
        <v>1271</v>
      </c>
      <c r="F94" s="365">
        <v>8554212.4199999999</v>
      </c>
      <c r="G94" s="364">
        <v>105</v>
      </c>
      <c r="H94" s="365">
        <v>8857450.5700000003</v>
      </c>
      <c r="I94" s="364">
        <v>105</v>
      </c>
      <c r="J94" s="366">
        <v>8646367.5899999999</v>
      </c>
      <c r="K94" s="367">
        <v>105</v>
      </c>
      <c r="L94" s="368">
        <v>8411027.1799999997</v>
      </c>
      <c r="M94" s="366">
        <v>105</v>
      </c>
      <c r="N94" s="366">
        <v>7967182.1600000001</v>
      </c>
      <c r="O94" s="366">
        <v>8270351.3600000003</v>
      </c>
      <c r="P94" s="362">
        <v>8207222.1299999999</v>
      </c>
      <c r="Q94" s="363">
        <v>587030.25999999978</v>
      </c>
    </row>
    <row r="95" spans="1:17" ht="12" customHeight="1">
      <c r="A95" s="93"/>
      <c r="B95" s="369" t="s">
        <v>374</v>
      </c>
      <c r="C95" s="369" t="s">
        <v>1272</v>
      </c>
      <c r="D95" s="369" t="s">
        <v>133</v>
      </c>
      <c r="E95" s="370" t="s">
        <v>1271</v>
      </c>
      <c r="F95" s="377">
        <v>6377865.7699999996</v>
      </c>
      <c r="G95" s="378">
        <v>60</v>
      </c>
      <c r="H95" s="371">
        <v>6312031.4900000002</v>
      </c>
      <c r="I95" s="370">
        <v>60</v>
      </c>
      <c r="J95" s="372">
        <v>6271297.4100000001</v>
      </c>
      <c r="K95" s="373">
        <v>60</v>
      </c>
      <c r="L95" s="374">
        <v>5709462.75</v>
      </c>
      <c r="M95" s="372">
        <v>60</v>
      </c>
      <c r="N95" s="372">
        <v>5727566.7400000002</v>
      </c>
      <c r="O95" s="372">
        <v>5806993.6500000004</v>
      </c>
      <c r="P95" s="369">
        <v>6271833.8300000001</v>
      </c>
      <c r="Q95" s="369">
        <v>650299.02999999933</v>
      </c>
    </row>
    <row r="96" spans="1:17" ht="12" customHeight="1">
      <c r="A96" s="93"/>
      <c r="B96" s="362" t="s">
        <v>376</v>
      </c>
      <c r="C96" s="363" t="s">
        <v>1272</v>
      </c>
      <c r="D96" s="363" t="s">
        <v>144</v>
      </c>
      <c r="E96" s="364" t="s">
        <v>1271</v>
      </c>
      <c r="F96" s="365">
        <v>3816846.42</v>
      </c>
      <c r="G96" s="364">
        <v>30</v>
      </c>
      <c r="H96" s="365">
        <v>3856828.84</v>
      </c>
      <c r="I96" s="364">
        <v>30</v>
      </c>
      <c r="J96" s="366">
        <v>3795173.16</v>
      </c>
      <c r="K96" s="367">
        <v>30</v>
      </c>
      <c r="L96" s="368">
        <v>3597329.8</v>
      </c>
      <c r="M96" s="366">
        <v>25</v>
      </c>
      <c r="N96" s="366">
        <v>3511636.81</v>
      </c>
      <c r="O96" s="366">
        <v>3127062.45</v>
      </c>
      <c r="P96" s="362">
        <v>3169642.03</v>
      </c>
      <c r="Q96" s="363">
        <v>305209.60999999987</v>
      </c>
    </row>
    <row r="97" spans="1:17" ht="12" customHeight="1">
      <c r="A97" s="93"/>
      <c r="B97" s="369" t="s">
        <v>1398</v>
      </c>
      <c r="C97" s="369" t="s">
        <v>1272</v>
      </c>
      <c r="D97" s="369" t="s">
        <v>115</v>
      </c>
      <c r="E97" s="370" t="s">
        <v>1271</v>
      </c>
      <c r="F97" s="377">
        <v>5109669.1899999995</v>
      </c>
      <c r="G97" s="378">
        <v>60</v>
      </c>
      <c r="H97" s="371">
        <v>4811254.16</v>
      </c>
      <c r="I97" s="370">
        <v>60</v>
      </c>
      <c r="J97" s="372">
        <v>4133267.08</v>
      </c>
      <c r="K97" s="373">
        <v>60</v>
      </c>
      <c r="L97" s="374">
        <v>185144.87</v>
      </c>
      <c r="M97" s="372">
        <v>33</v>
      </c>
      <c r="N97" s="372"/>
      <c r="O97" s="372"/>
      <c r="P97" s="369"/>
      <c r="Q97" s="369">
        <v>5109669.1899999995</v>
      </c>
    </row>
    <row r="98" spans="1:17" ht="12" customHeight="1">
      <c r="A98" s="93"/>
      <c r="B98" s="362" t="s">
        <v>378</v>
      </c>
      <c r="C98" s="363" t="s">
        <v>1272</v>
      </c>
      <c r="D98" s="363" t="s">
        <v>145</v>
      </c>
      <c r="E98" s="364" t="s">
        <v>1271</v>
      </c>
      <c r="F98" s="365">
        <v>4304295.7300000004</v>
      </c>
      <c r="G98" s="364">
        <v>82</v>
      </c>
      <c r="H98" s="365">
        <v>4387763.59</v>
      </c>
      <c r="I98" s="364">
        <v>82</v>
      </c>
      <c r="J98" s="366">
        <v>4468746.84</v>
      </c>
      <c r="K98" s="367">
        <v>82</v>
      </c>
      <c r="L98" s="368">
        <v>4356999.22</v>
      </c>
      <c r="M98" s="366">
        <v>82</v>
      </c>
      <c r="N98" s="366">
        <v>4527296.2300000004</v>
      </c>
      <c r="O98" s="366">
        <v>4480438.12</v>
      </c>
      <c r="P98" s="362">
        <v>4450018.96</v>
      </c>
      <c r="Q98" s="363">
        <v>-223000.5</v>
      </c>
    </row>
    <row r="99" spans="1:17" ht="12" customHeight="1">
      <c r="A99" s="93"/>
      <c r="B99" s="369" t="s">
        <v>1425</v>
      </c>
      <c r="C99" s="369" t="s">
        <v>1272</v>
      </c>
      <c r="D99" s="369" t="s">
        <v>147</v>
      </c>
      <c r="E99" s="370" t="s">
        <v>1271</v>
      </c>
      <c r="F99" s="377">
        <v>6221.54</v>
      </c>
      <c r="G99" s="378">
        <v>0</v>
      </c>
      <c r="H99" s="371">
        <v>8661575.629999999</v>
      </c>
      <c r="I99" s="370">
        <v>66</v>
      </c>
      <c r="J99" s="372">
        <v>7381489.1199999992</v>
      </c>
      <c r="K99" s="373">
        <v>66</v>
      </c>
      <c r="L99" s="374">
        <v>6616576.2200000007</v>
      </c>
      <c r="M99" s="372">
        <v>66</v>
      </c>
      <c r="N99" s="372">
        <v>5895919.8100000005</v>
      </c>
      <c r="O99" s="372">
        <v>5333424.38</v>
      </c>
      <c r="P99" s="369">
        <v>5506746.3499999996</v>
      </c>
      <c r="Q99" s="369">
        <v>-5889698.2700000005</v>
      </c>
    </row>
    <row r="100" spans="1:17" ht="12" customHeight="1">
      <c r="A100" s="93"/>
      <c r="B100" s="362" t="s">
        <v>380</v>
      </c>
      <c r="C100" s="363" t="s">
        <v>1272</v>
      </c>
      <c r="D100" s="363" t="s">
        <v>166</v>
      </c>
      <c r="E100" s="364" t="s">
        <v>1271</v>
      </c>
      <c r="F100" s="365">
        <v>6221.54</v>
      </c>
      <c r="G100" s="364">
        <v>0</v>
      </c>
      <c r="H100" s="365"/>
      <c r="I100" s="364"/>
      <c r="J100" s="366"/>
      <c r="K100" s="367"/>
      <c r="L100" s="368"/>
      <c r="M100" s="366"/>
      <c r="N100" s="366"/>
      <c r="O100" s="366"/>
      <c r="P100" s="362"/>
      <c r="Q100" s="363"/>
    </row>
    <row r="101" spans="1:17" ht="12" customHeight="1">
      <c r="A101" s="93"/>
      <c r="B101" s="369" t="s">
        <v>1295</v>
      </c>
      <c r="C101" s="369" t="s">
        <v>1272</v>
      </c>
      <c r="D101" s="369" t="s">
        <v>145</v>
      </c>
      <c r="E101" s="370" t="s">
        <v>1271</v>
      </c>
      <c r="F101" s="377">
        <v>4030646.1100000003</v>
      </c>
      <c r="G101" s="378">
        <v>90</v>
      </c>
      <c r="H101" s="371">
        <v>4518886.5600000005</v>
      </c>
      <c r="I101" s="370">
        <v>90</v>
      </c>
      <c r="J101" s="372">
        <v>4864361.45</v>
      </c>
      <c r="K101" s="373">
        <v>90</v>
      </c>
      <c r="L101" s="374">
        <v>4936171.51</v>
      </c>
      <c r="M101" s="372">
        <v>80</v>
      </c>
      <c r="N101" s="372">
        <v>4812942.58</v>
      </c>
      <c r="O101" s="372">
        <v>3853051.4</v>
      </c>
      <c r="P101" s="369">
        <v>3620402.33</v>
      </c>
      <c r="Q101" s="369">
        <v>-782296.46999999974</v>
      </c>
    </row>
    <row r="102" spans="1:17" ht="12" customHeight="1">
      <c r="A102" s="93"/>
      <c r="B102" s="362" t="s">
        <v>384</v>
      </c>
      <c r="C102" s="363" t="s">
        <v>1274</v>
      </c>
      <c r="D102" s="363" t="s">
        <v>27</v>
      </c>
      <c r="E102" s="364" t="s">
        <v>1271</v>
      </c>
      <c r="F102" s="365">
        <v>1171183.96</v>
      </c>
      <c r="G102" s="364">
        <v>28</v>
      </c>
      <c r="H102" s="365">
        <v>1106711.2799999998</v>
      </c>
      <c r="I102" s="364">
        <v>28</v>
      </c>
      <c r="J102" s="366">
        <v>1222583.54</v>
      </c>
      <c r="K102" s="367">
        <v>28</v>
      </c>
      <c r="L102" s="368">
        <v>1016761.12</v>
      </c>
      <c r="M102" s="366">
        <v>28</v>
      </c>
      <c r="N102" s="366">
        <v>1067506.8999999999</v>
      </c>
      <c r="O102" s="366">
        <v>1082564.98</v>
      </c>
      <c r="P102" s="362">
        <v>1198327.29</v>
      </c>
      <c r="Q102" s="363">
        <v>103677.06000000006</v>
      </c>
    </row>
    <row r="103" spans="1:17" ht="12" customHeight="1">
      <c r="A103" s="93"/>
      <c r="B103" s="369" t="s">
        <v>386</v>
      </c>
      <c r="C103" s="369" t="s">
        <v>1274</v>
      </c>
      <c r="D103" s="369" t="s">
        <v>31</v>
      </c>
      <c r="E103" s="370" t="s">
        <v>1273</v>
      </c>
      <c r="F103" s="377">
        <v>2005932.52</v>
      </c>
      <c r="G103" s="378">
        <v>43</v>
      </c>
      <c r="H103" s="371">
        <v>2025931.72</v>
      </c>
      <c r="I103" s="370">
        <v>43</v>
      </c>
      <c r="J103" s="372">
        <v>1922285.14</v>
      </c>
      <c r="K103" s="373">
        <v>43</v>
      </c>
      <c r="L103" s="374">
        <v>2169948.9699999997</v>
      </c>
      <c r="M103" s="372">
        <v>39</v>
      </c>
      <c r="N103" s="372">
        <v>1934380.33</v>
      </c>
      <c r="O103" s="372">
        <v>1685568.29</v>
      </c>
      <c r="P103" s="369">
        <v>1373550.38</v>
      </c>
      <c r="Q103" s="369">
        <v>71552.189999999944</v>
      </c>
    </row>
    <row r="104" spans="1:17" ht="12" customHeight="1">
      <c r="A104" s="93"/>
      <c r="B104" s="362" t="s">
        <v>388</v>
      </c>
      <c r="C104" s="363" t="s">
        <v>1274</v>
      </c>
      <c r="D104" s="363" t="s">
        <v>118</v>
      </c>
      <c r="E104" s="364" t="s">
        <v>1271</v>
      </c>
      <c r="F104" s="365">
        <v>956420.38</v>
      </c>
      <c r="G104" s="364">
        <v>20</v>
      </c>
      <c r="H104" s="365">
        <v>966930.59000000008</v>
      </c>
      <c r="I104" s="364">
        <v>20</v>
      </c>
      <c r="J104" s="366">
        <v>979136.26</v>
      </c>
      <c r="K104" s="367">
        <v>20</v>
      </c>
      <c r="L104" s="368">
        <v>928260.65</v>
      </c>
      <c r="M104" s="366">
        <v>20</v>
      </c>
      <c r="N104" s="366">
        <v>949096.76</v>
      </c>
      <c r="O104" s="366">
        <v>937114.57000000007</v>
      </c>
      <c r="P104" s="362">
        <v>886600.13</v>
      </c>
      <c r="Q104" s="363">
        <v>7323.6199999999953</v>
      </c>
    </row>
    <row r="105" spans="1:17" ht="12" customHeight="1">
      <c r="A105" s="93"/>
      <c r="B105" s="369" t="s">
        <v>390</v>
      </c>
      <c r="C105" s="369" t="s">
        <v>1274</v>
      </c>
      <c r="D105" s="369" t="s">
        <v>118</v>
      </c>
      <c r="E105" s="370" t="s">
        <v>1271</v>
      </c>
      <c r="F105" s="377">
        <v>999995.58000000007</v>
      </c>
      <c r="G105" s="378">
        <v>25</v>
      </c>
      <c r="H105" s="371">
        <v>889014.08</v>
      </c>
      <c r="I105" s="370">
        <v>25</v>
      </c>
      <c r="J105" s="372">
        <v>906535.02</v>
      </c>
      <c r="K105" s="373">
        <v>25</v>
      </c>
      <c r="L105" s="374">
        <v>844977.99</v>
      </c>
      <c r="M105" s="372">
        <v>25</v>
      </c>
      <c r="N105" s="372">
        <v>693454.14999999991</v>
      </c>
      <c r="O105" s="372">
        <v>665727.46</v>
      </c>
      <c r="P105" s="369">
        <v>647851.22</v>
      </c>
      <c r="Q105" s="369">
        <v>306541.43000000017</v>
      </c>
    </row>
    <row r="106" spans="1:17" ht="12" customHeight="1">
      <c r="A106" s="93"/>
      <c r="B106" s="362" t="s">
        <v>392</v>
      </c>
      <c r="C106" s="363" t="s">
        <v>1274</v>
      </c>
      <c r="D106" s="363" t="s">
        <v>27</v>
      </c>
      <c r="E106" s="364" t="s">
        <v>1273</v>
      </c>
      <c r="F106" s="365">
        <v>1589639.3599999999</v>
      </c>
      <c r="G106" s="364">
        <v>29</v>
      </c>
      <c r="H106" s="365">
        <v>1415994.22</v>
      </c>
      <c r="I106" s="364">
        <v>29</v>
      </c>
      <c r="J106" s="366">
        <v>1541941.29</v>
      </c>
      <c r="K106" s="367">
        <v>29</v>
      </c>
      <c r="L106" s="368">
        <v>1655613.21</v>
      </c>
      <c r="M106" s="366">
        <v>29</v>
      </c>
      <c r="N106" s="366">
        <v>1864809.76</v>
      </c>
      <c r="O106" s="366">
        <v>1866871.92</v>
      </c>
      <c r="P106" s="362">
        <v>1877614.52</v>
      </c>
      <c r="Q106" s="363">
        <v>-275170.40000000014</v>
      </c>
    </row>
    <row r="107" spans="1:17" ht="12" customHeight="1">
      <c r="A107" s="93"/>
      <c r="B107" s="369" t="s">
        <v>394</v>
      </c>
      <c r="C107" s="369" t="s">
        <v>1274</v>
      </c>
      <c r="D107" s="369" t="s">
        <v>169</v>
      </c>
      <c r="E107" s="370" t="s">
        <v>1273</v>
      </c>
      <c r="F107" s="377">
        <v>1508671.83</v>
      </c>
      <c r="G107" s="378">
        <v>14</v>
      </c>
      <c r="H107" s="371">
        <v>1142936.3999999999</v>
      </c>
      <c r="I107" s="370">
        <v>14</v>
      </c>
      <c r="J107" s="372">
        <v>664746.16</v>
      </c>
      <c r="K107" s="373">
        <v>14</v>
      </c>
      <c r="L107" s="374">
        <v>609635.90999999992</v>
      </c>
      <c r="M107" s="372">
        <v>14</v>
      </c>
      <c r="N107" s="372">
        <v>827962.79</v>
      </c>
      <c r="O107" s="372">
        <v>893306.66999999993</v>
      </c>
      <c r="P107" s="369">
        <v>875615.07</v>
      </c>
      <c r="Q107" s="369">
        <v>680709.04</v>
      </c>
    </row>
    <row r="108" spans="1:17" ht="12" customHeight="1">
      <c r="A108" s="93"/>
      <c r="B108" s="362" t="s">
        <v>396</v>
      </c>
      <c r="C108" s="363" t="s">
        <v>1272</v>
      </c>
      <c r="D108" s="363" t="s">
        <v>175</v>
      </c>
      <c r="E108" s="364" t="s">
        <v>1273</v>
      </c>
      <c r="F108" s="365">
        <v>13476488.140000001</v>
      </c>
      <c r="G108" s="364">
        <v>75</v>
      </c>
      <c r="H108" s="365">
        <v>13283380.559999999</v>
      </c>
      <c r="I108" s="364">
        <v>75</v>
      </c>
      <c r="J108" s="366">
        <v>12490443.26</v>
      </c>
      <c r="K108" s="367">
        <v>75</v>
      </c>
      <c r="L108" s="368">
        <v>13119428.620000001</v>
      </c>
      <c r="M108" s="366">
        <v>75</v>
      </c>
      <c r="N108" s="366">
        <v>12959009.74</v>
      </c>
      <c r="O108" s="366">
        <v>11989943.030000001</v>
      </c>
      <c r="P108" s="362">
        <v>12569633.780000001</v>
      </c>
      <c r="Q108" s="363">
        <v>517478.40000000037</v>
      </c>
    </row>
    <row r="109" spans="1:17" ht="12" customHeight="1">
      <c r="A109" s="93"/>
      <c r="B109" s="369" t="s">
        <v>398</v>
      </c>
      <c r="C109" s="369" t="s">
        <v>1272</v>
      </c>
      <c r="D109" s="369" t="s">
        <v>135</v>
      </c>
      <c r="E109" s="370" t="s">
        <v>1273</v>
      </c>
      <c r="F109" s="377">
        <v>5762672.8300000001</v>
      </c>
      <c r="G109" s="378">
        <v>47</v>
      </c>
      <c r="H109" s="371">
        <v>5910293.3599999994</v>
      </c>
      <c r="I109" s="370">
        <v>47</v>
      </c>
      <c r="J109" s="372">
        <v>5211776.6400000006</v>
      </c>
      <c r="K109" s="373">
        <v>47</v>
      </c>
      <c r="L109" s="374">
        <v>5374922.9800000004</v>
      </c>
      <c r="M109" s="372">
        <v>47</v>
      </c>
      <c r="N109" s="372">
        <v>5309700.17</v>
      </c>
      <c r="O109" s="372">
        <v>5467277.25</v>
      </c>
      <c r="P109" s="369">
        <v>5872172.9100000001</v>
      </c>
      <c r="Q109" s="369">
        <v>452972.66000000015</v>
      </c>
    </row>
    <row r="110" spans="1:17" ht="12" customHeight="1">
      <c r="A110" s="93"/>
      <c r="B110" s="362" t="s">
        <v>400</v>
      </c>
      <c r="C110" s="363" t="s">
        <v>1274</v>
      </c>
      <c r="D110" s="363" t="s">
        <v>37</v>
      </c>
      <c r="E110" s="364" t="s">
        <v>1271</v>
      </c>
      <c r="F110" s="365">
        <v>217960.47</v>
      </c>
      <c r="G110" s="364">
        <v>10</v>
      </c>
      <c r="H110" s="365">
        <v>219382.89</v>
      </c>
      <c r="I110" s="364">
        <v>10</v>
      </c>
      <c r="J110" s="366">
        <v>254603.83000000002</v>
      </c>
      <c r="K110" s="367">
        <v>10</v>
      </c>
      <c r="L110" s="368">
        <v>284733.48</v>
      </c>
      <c r="M110" s="366">
        <v>10</v>
      </c>
      <c r="N110" s="366">
        <v>318358.87</v>
      </c>
      <c r="O110" s="366">
        <v>370088.62</v>
      </c>
      <c r="P110" s="362">
        <v>381071.04</v>
      </c>
      <c r="Q110" s="363">
        <v>-100398.39999999999</v>
      </c>
    </row>
    <row r="111" spans="1:17" ht="12" customHeight="1">
      <c r="A111" s="93"/>
      <c r="B111" s="369" t="s">
        <v>402</v>
      </c>
      <c r="C111" s="369" t="s">
        <v>1274</v>
      </c>
      <c r="D111" s="369" t="s">
        <v>153</v>
      </c>
      <c r="E111" s="370" t="s">
        <v>1273</v>
      </c>
      <c r="F111" s="377">
        <v>5276193.49</v>
      </c>
      <c r="G111" s="378">
        <v>40</v>
      </c>
      <c r="H111" s="371">
        <v>4848696.4399999995</v>
      </c>
      <c r="I111" s="370">
        <v>40</v>
      </c>
      <c r="J111" s="372">
        <v>4520366.58</v>
      </c>
      <c r="K111" s="373">
        <v>40</v>
      </c>
      <c r="L111" s="374">
        <v>4402188.0999999996</v>
      </c>
      <c r="M111" s="372">
        <v>40</v>
      </c>
      <c r="N111" s="372">
        <v>4099064.81</v>
      </c>
      <c r="O111" s="372">
        <v>3915120.0700000003</v>
      </c>
      <c r="P111" s="369">
        <v>3865992.92</v>
      </c>
      <c r="Q111" s="369">
        <v>1177128.6800000002</v>
      </c>
    </row>
    <row r="112" spans="1:17" ht="12" customHeight="1">
      <c r="A112" s="93"/>
      <c r="B112" s="362" t="s">
        <v>406</v>
      </c>
      <c r="C112" s="363" t="s">
        <v>1272</v>
      </c>
      <c r="D112" s="363" t="s">
        <v>144</v>
      </c>
      <c r="E112" s="364" t="s">
        <v>1273</v>
      </c>
      <c r="F112" s="365">
        <v>3613717.96</v>
      </c>
      <c r="G112" s="364">
        <v>21</v>
      </c>
      <c r="H112" s="365">
        <v>3113996.44</v>
      </c>
      <c r="I112" s="364">
        <v>21</v>
      </c>
      <c r="J112" s="366">
        <v>3272761.65</v>
      </c>
      <c r="K112" s="367">
        <v>21</v>
      </c>
      <c r="L112" s="368">
        <v>3240721.16</v>
      </c>
      <c r="M112" s="366">
        <v>21</v>
      </c>
      <c r="N112" s="366">
        <v>3191341.63</v>
      </c>
      <c r="O112" s="366">
        <v>3200697.27</v>
      </c>
      <c r="P112" s="362">
        <v>3283929.63</v>
      </c>
      <c r="Q112" s="363">
        <v>422376.33000000007</v>
      </c>
    </row>
    <row r="113" spans="1:17" ht="12" customHeight="1">
      <c r="A113" s="93"/>
      <c r="B113" s="369" t="s">
        <v>408</v>
      </c>
      <c r="C113" s="369" t="s">
        <v>1272</v>
      </c>
      <c r="D113" s="369" t="s">
        <v>166</v>
      </c>
      <c r="E113" s="370" t="s">
        <v>1273</v>
      </c>
      <c r="F113" s="377">
        <v>5912518.3899999997</v>
      </c>
      <c r="G113" s="378">
        <v>48</v>
      </c>
      <c r="H113" s="371">
        <v>5796168.4900000002</v>
      </c>
      <c r="I113" s="370">
        <v>47</v>
      </c>
      <c r="J113" s="372">
        <v>6806394.8800000008</v>
      </c>
      <c r="K113" s="373">
        <v>48</v>
      </c>
      <c r="L113" s="374">
        <v>7245536.1600000001</v>
      </c>
      <c r="M113" s="372">
        <v>48</v>
      </c>
      <c r="N113" s="372">
        <v>7793596.3200000003</v>
      </c>
      <c r="O113" s="372">
        <v>7244318.71</v>
      </c>
      <c r="P113" s="369">
        <v>7336663.0199999996</v>
      </c>
      <c r="Q113" s="369">
        <v>-1881077.9300000006</v>
      </c>
    </row>
    <row r="114" spans="1:17" ht="12" customHeight="1">
      <c r="A114" s="93"/>
      <c r="B114" s="362" t="s">
        <v>1296</v>
      </c>
      <c r="C114" s="363" t="s">
        <v>1272</v>
      </c>
      <c r="D114" s="363" t="s">
        <v>137</v>
      </c>
      <c r="E114" s="364" t="s">
        <v>1273</v>
      </c>
      <c r="F114" s="365">
        <v>8389808.8599999994</v>
      </c>
      <c r="G114" s="364">
        <v>53</v>
      </c>
      <c r="H114" s="365">
        <v>8249998.7200000007</v>
      </c>
      <c r="I114" s="364">
        <v>53</v>
      </c>
      <c r="J114" s="366">
        <v>7741375.8900000006</v>
      </c>
      <c r="K114" s="367">
        <v>53</v>
      </c>
      <c r="L114" s="368">
        <v>7767265.0999999996</v>
      </c>
      <c r="M114" s="366">
        <v>53</v>
      </c>
      <c r="N114" s="366">
        <v>7143595.9299999997</v>
      </c>
      <c r="O114" s="366">
        <v>6989963.2200000007</v>
      </c>
      <c r="P114" s="362">
        <v>6195532.0800000001</v>
      </c>
      <c r="Q114" s="363">
        <v>1246212.9299999997</v>
      </c>
    </row>
    <row r="115" spans="1:17" ht="12" customHeight="1">
      <c r="A115" s="93"/>
      <c r="B115" s="369" t="s">
        <v>412</v>
      </c>
      <c r="C115" s="369" t="s">
        <v>1272</v>
      </c>
      <c r="D115" s="369" t="s">
        <v>135</v>
      </c>
      <c r="E115" s="370" t="s">
        <v>1271</v>
      </c>
      <c r="F115" s="377">
        <v>8727829.6499999985</v>
      </c>
      <c r="G115" s="378">
        <v>70</v>
      </c>
      <c r="H115" s="371">
        <v>8957610.5399999991</v>
      </c>
      <c r="I115" s="370">
        <v>70</v>
      </c>
      <c r="J115" s="372">
        <v>9382776.9900000002</v>
      </c>
      <c r="K115" s="373">
        <v>63</v>
      </c>
      <c r="L115" s="374">
        <v>9588845.379999999</v>
      </c>
      <c r="M115" s="372">
        <v>70</v>
      </c>
      <c r="N115" s="372">
        <v>9337591.370000001</v>
      </c>
      <c r="O115" s="372">
        <v>9432277.8900000006</v>
      </c>
      <c r="P115" s="369">
        <v>9926191.1899999995</v>
      </c>
      <c r="Q115" s="369">
        <v>-609761.72000000253</v>
      </c>
    </row>
    <row r="116" spans="1:17" ht="12" customHeight="1">
      <c r="A116" s="93"/>
      <c r="B116" s="362" t="s">
        <v>410</v>
      </c>
      <c r="C116" s="363" t="s">
        <v>1274</v>
      </c>
      <c r="D116" s="363" t="s">
        <v>105</v>
      </c>
      <c r="E116" s="364" t="s">
        <v>1273</v>
      </c>
      <c r="F116" s="365">
        <v>5171034.32</v>
      </c>
      <c r="G116" s="364">
        <v>45</v>
      </c>
      <c r="H116" s="365">
        <v>4798566.79</v>
      </c>
      <c r="I116" s="364">
        <v>45</v>
      </c>
      <c r="J116" s="366">
        <v>4503496.7799999993</v>
      </c>
      <c r="K116" s="367">
        <v>45</v>
      </c>
      <c r="L116" s="368">
        <v>4256937.5199999996</v>
      </c>
      <c r="M116" s="366">
        <v>45</v>
      </c>
      <c r="N116" s="366">
        <v>4251351.5600000005</v>
      </c>
      <c r="O116" s="366">
        <v>4308135.01</v>
      </c>
      <c r="P116" s="362">
        <v>4231904.21</v>
      </c>
      <c r="Q116" s="363">
        <v>919682.75999999978</v>
      </c>
    </row>
    <row r="117" spans="1:17" ht="12" customHeight="1">
      <c r="A117" s="93"/>
      <c r="B117" s="369" t="s">
        <v>414</v>
      </c>
      <c r="C117" s="369" t="s">
        <v>1272</v>
      </c>
      <c r="D117" s="369" t="s">
        <v>120</v>
      </c>
      <c r="E117" s="370" t="s">
        <v>1273</v>
      </c>
      <c r="F117" s="377">
        <v>10009546.93</v>
      </c>
      <c r="G117" s="378">
        <v>79</v>
      </c>
      <c r="H117" s="371">
        <v>9625799.2699999996</v>
      </c>
      <c r="I117" s="370">
        <v>79</v>
      </c>
      <c r="J117" s="372">
        <v>9747358.3999999985</v>
      </c>
      <c r="K117" s="373">
        <v>79</v>
      </c>
      <c r="L117" s="374">
        <v>9861267.5</v>
      </c>
      <c r="M117" s="372">
        <v>79</v>
      </c>
      <c r="N117" s="372">
        <v>10239295.93</v>
      </c>
      <c r="O117" s="372">
        <v>10509113.07</v>
      </c>
      <c r="P117" s="369">
        <v>11286025.59</v>
      </c>
      <c r="Q117" s="369">
        <v>-229749</v>
      </c>
    </row>
    <row r="118" spans="1:17" ht="12" customHeight="1">
      <c r="A118" s="93"/>
      <c r="B118" s="362" t="s">
        <v>416</v>
      </c>
      <c r="C118" s="363" t="s">
        <v>1272</v>
      </c>
      <c r="D118" s="363" t="s">
        <v>116</v>
      </c>
      <c r="E118" s="364" t="s">
        <v>1271</v>
      </c>
      <c r="F118" s="365">
        <v>3164812.79</v>
      </c>
      <c r="G118" s="364">
        <v>50</v>
      </c>
      <c r="H118" s="365">
        <v>3101380.2</v>
      </c>
      <c r="I118" s="364">
        <v>50</v>
      </c>
      <c r="J118" s="366">
        <v>2949077.63</v>
      </c>
      <c r="K118" s="367">
        <v>50</v>
      </c>
      <c r="L118" s="368">
        <v>2764862.55</v>
      </c>
      <c r="M118" s="366">
        <v>50</v>
      </c>
      <c r="N118" s="366">
        <v>2528478.3499999996</v>
      </c>
      <c r="O118" s="366">
        <v>2375590.1399999997</v>
      </c>
      <c r="P118" s="362">
        <v>1999844.18</v>
      </c>
      <c r="Q118" s="363">
        <v>636334.44000000041</v>
      </c>
    </row>
    <row r="119" spans="1:17" ht="12" customHeight="1">
      <c r="A119" s="93"/>
      <c r="B119" s="369" t="s">
        <v>418</v>
      </c>
      <c r="C119" s="369" t="s">
        <v>1272</v>
      </c>
      <c r="D119" s="369" t="s">
        <v>152</v>
      </c>
      <c r="E119" s="370" t="s">
        <v>1273</v>
      </c>
      <c r="F119" s="377">
        <v>4671575.09</v>
      </c>
      <c r="G119" s="378">
        <v>40</v>
      </c>
      <c r="H119" s="371">
        <v>4423559.2699999996</v>
      </c>
      <c r="I119" s="370">
        <v>40</v>
      </c>
      <c r="J119" s="372">
        <v>3669742.94</v>
      </c>
      <c r="K119" s="373">
        <v>40</v>
      </c>
      <c r="L119" s="374">
        <v>3987575.12</v>
      </c>
      <c r="M119" s="372">
        <v>40</v>
      </c>
      <c r="N119" s="372">
        <v>3714519.74</v>
      </c>
      <c r="O119" s="372">
        <v>3827653.5</v>
      </c>
      <c r="P119" s="369">
        <v>3826488.81</v>
      </c>
      <c r="Q119" s="369">
        <v>957055.34999999963</v>
      </c>
    </row>
    <row r="120" spans="1:17" ht="12" customHeight="1">
      <c r="A120" s="93"/>
      <c r="B120" s="362" t="s">
        <v>420</v>
      </c>
      <c r="C120" s="363" t="s">
        <v>1272</v>
      </c>
      <c r="D120" s="363" t="s">
        <v>177</v>
      </c>
      <c r="E120" s="364" t="s">
        <v>1273</v>
      </c>
      <c r="F120" s="365">
        <v>7414630.7599999998</v>
      </c>
      <c r="G120" s="364">
        <v>64</v>
      </c>
      <c r="H120" s="365">
        <v>6682642.9800000004</v>
      </c>
      <c r="I120" s="364">
        <v>68</v>
      </c>
      <c r="J120" s="366">
        <v>7173317.8100000005</v>
      </c>
      <c r="K120" s="367">
        <v>68</v>
      </c>
      <c r="L120" s="368">
        <v>7465502.8799999999</v>
      </c>
      <c r="M120" s="366">
        <v>68</v>
      </c>
      <c r="N120" s="366">
        <v>7940564.7200000007</v>
      </c>
      <c r="O120" s="366">
        <v>8332577.4900000002</v>
      </c>
      <c r="P120" s="362">
        <v>8115296.0600000005</v>
      </c>
      <c r="Q120" s="363">
        <v>-525933.96000000089</v>
      </c>
    </row>
    <row r="121" spans="1:17" ht="12" customHeight="1">
      <c r="A121" s="93"/>
      <c r="B121" s="369" t="s">
        <v>422</v>
      </c>
      <c r="C121" s="369" t="s">
        <v>1272</v>
      </c>
      <c r="D121" s="369" t="s">
        <v>120</v>
      </c>
      <c r="E121" s="370" t="s">
        <v>1273</v>
      </c>
      <c r="F121" s="377">
        <v>5173156.5999999996</v>
      </c>
      <c r="G121" s="378">
        <v>54</v>
      </c>
      <c r="H121" s="371">
        <v>5282595.49</v>
      </c>
      <c r="I121" s="370">
        <v>54</v>
      </c>
      <c r="J121" s="372">
        <v>5172053.75</v>
      </c>
      <c r="K121" s="373">
        <v>54</v>
      </c>
      <c r="L121" s="374">
        <v>5870798.6299999999</v>
      </c>
      <c r="M121" s="372">
        <v>54</v>
      </c>
      <c r="N121" s="372">
        <v>5738120.29</v>
      </c>
      <c r="O121" s="372">
        <v>5647544.4500000002</v>
      </c>
      <c r="P121" s="369">
        <v>6377899.4100000001</v>
      </c>
      <c r="Q121" s="369">
        <v>-564963.69000000041</v>
      </c>
    </row>
    <row r="122" spans="1:17" ht="12" customHeight="1">
      <c r="A122" s="93"/>
      <c r="B122" s="362" t="s">
        <v>424</v>
      </c>
      <c r="C122" s="363" t="s">
        <v>1272</v>
      </c>
      <c r="D122" s="363" t="s">
        <v>145</v>
      </c>
      <c r="E122" s="364" t="s">
        <v>1273</v>
      </c>
      <c r="F122" s="365">
        <v>10640486.699999999</v>
      </c>
      <c r="G122" s="364">
        <v>105</v>
      </c>
      <c r="H122" s="365">
        <v>11121798.26</v>
      </c>
      <c r="I122" s="364">
        <v>105</v>
      </c>
      <c r="J122" s="366">
        <v>10998731.210000001</v>
      </c>
      <c r="K122" s="367">
        <v>105</v>
      </c>
      <c r="L122" s="368">
        <v>10779504.460000001</v>
      </c>
      <c r="M122" s="366">
        <v>105</v>
      </c>
      <c r="N122" s="366">
        <v>9747532.629999999</v>
      </c>
      <c r="O122" s="366">
        <v>9774321.9200000018</v>
      </c>
      <c r="P122" s="362">
        <v>9915655.5599999987</v>
      </c>
      <c r="Q122" s="363">
        <v>892954.0700000003</v>
      </c>
    </row>
    <row r="123" spans="1:17" ht="12" customHeight="1">
      <c r="A123" s="93"/>
      <c r="B123" s="369" t="s">
        <v>426</v>
      </c>
      <c r="C123" s="369" t="s">
        <v>1274</v>
      </c>
      <c r="D123" s="369" t="s">
        <v>32</v>
      </c>
      <c r="E123" s="370" t="s">
        <v>1273</v>
      </c>
      <c r="F123" s="377">
        <v>2991061.71</v>
      </c>
      <c r="G123" s="378">
        <v>30</v>
      </c>
      <c r="H123" s="371">
        <v>2902516.49</v>
      </c>
      <c r="I123" s="370">
        <v>30</v>
      </c>
      <c r="J123" s="372">
        <v>2823286.73</v>
      </c>
      <c r="K123" s="373">
        <v>30</v>
      </c>
      <c r="L123" s="374">
        <v>3116230.92</v>
      </c>
      <c r="M123" s="372">
        <v>30</v>
      </c>
      <c r="N123" s="372">
        <v>3215859.45</v>
      </c>
      <c r="O123" s="372">
        <v>3218786.43</v>
      </c>
      <c r="P123" s="369">
        <v>3009247.96</v>
      </c>
      <c r="Q123" s="369">
        <v>-224797.74000000022</v>
      </c>
    </row>
    <row r="124" spans="1:17" ht="12" customHeight="1">
      <c r="A124" s="93"/>
      <c r="B124" s="362" t="s">
        <v>428</v>
      </c>
      <c r="C124" s="363" t="s">
        <v>1272</v>
      </c>
      <c r="D124" s="363" t="s">
        <v>128</v>
      </c>
      <c r="E124" s="364" t="s">
        <v>1271</v>
      </c>
      <c r="F124" s="365">
        <v>11376106.809999999</v>
      </c>
      <c r="G124" s="364">
        <v>103</v>
      </c>
      <c r="H124" s="365">
        <v>11813631.02</v>
      </c>
      <c r="I124" s="364">
        <v>103</v>
      </c>
      <c r="J124" s="366">
        <v>11270108.41</v>
      </c>
      <c r="K124" s="367">
        <v>103</v>
      </c>
      <c r="L124" s="368">
        <v>10837839.41</v>
      </c>
      <c r="M124" s="366">
        <v>103</v>
      </c>
      <c r="N124" s="366">
        <v>10731550.550000001</v>
      </c>
      <c r="O124" s="366">
        <v>9572282.5199999996</v>
      </c>
      <c r="P124" s="362">
        <v>9061681.4700000007</v>
      </c>
      <c r="Q124" s="363">
        <v>644556.25999999791</v>
      </c>
    </row>
    <row r="125" spans="1:17" ht="12" customHeight="1">
      <c r="A125" s="93"/>
      <c r="B125" s="369" t="s">
        <v>430</v>
      </c>
      <c r="C125" s="369" t="s">
        <v>1272</v>
      </c>
      <c r="D125" s="369" t="s">
        <v>128</v>
      </c>
      <c r="E125" s="370" t="s">
        <v>1271</v>
      </c>
      <c r="F125" s="377">
        <v>7460609.54</v>
      </c>
      <c r="G125" s="378">
        <v>63</v>
      </c>
      <c r="H125" s="371">
        <v>7656714.9000000004</v>
      </c>
      <c r="I125" s="370">
        <v>63</v>
      </c>
      <c r="J125" s="372">
        <v>6983053.3900000006</v>
      </c>
      <c r="K125" s="373">
        <v>63</v>
      </c>
      <c r="L125" s="374">
        <v>6560031.9699999997</v>
      </c>
      <c r="M125" s="372">
        <v>63</v>
      </c>
      <c r="N125" s="372">
        <v>6107568.9299999997</v>
      </c>
      <c r="O125" s="372">
        <v>6189911.75</v>
      </c>
      <c r="P125" s="369">
        <v>6033796.8900000006</v>
      </c>
      <c r="Q125" s="369">
        <v>1353040.6100000003</v>
      </c>
    </row>
    <row r="126" spans="1:17" ht="12" customHeight="1">
      <c r="A126" s="93"/>
      <c r="B126" s="362" t="s">
        <v>432</v>
      </c>
      <c r="C126" s="363" t="s">
        <v>1272</v>
      </c>
      <c r="D126" s="363" t="s">
        <v>128</v>
      </c>
      <c r="E126" s="364" t="s">
        <v>1271</v>
      </c>
      <c r="F126" s="365">
        <v>2635416.79</v>
      </c>
      <c r="G126" s="364">
        <v>77</v>
      </c>
      <c r="H126" s="365">
        <v>2613550.9299999997</v>
      </c>
      <c r="I126" s="364">
        <v>77</v>
      </c>
      <c r="J126" s="366">
        <v>2829412.5700000003</v>
      </c>
      <c r="K126" s="367">
        <v>77</v>
      </c>
      <c r="L126" s="368">
        <v>2821019.8</v>
      </c>
      <c r="M126" s="366">
        <v>77</v>
      </c>
      <c r="N126" s="366">
        <v>3019847.65</v>
      </c>
      <c r="O126" s="366">
        <v>3114608.34</v>
      </c>
      <c r="P126" s="362">
        <v>3433413.58</v>
      </c>
      <c r="Q126" s="363">
        <v>-384430.85999999987</v>
      </c>
    </row>
    <row r="127" spans="1:17" ht="12" customHeight="1">
      <c r="A127" s="93"/>
      <c r="B127" s="369" t="s">
        <v>434</v>
      </c>
      <c r="C127" s="369" t="s">
        <v>1272</v>
      </c>
      <c r="D127" s="369" t="s">
        <v>120</v>
      </c>
      <c r="E127" s="370" t="s">
        <v>1271</v>
      </c>
      <c r="F127" s="377">
        <v>4705966.24</v>
      </c>
      <c r="G127" s="378">
        <v>65</v>
      </c>
      <c r="H127" s="371">
        <v>4698368.5199999996</v>
      </c>
      <c r="I127" s="370">
        <v>65</v>
      </c>
      <c r="J127" s="372">
        <v>4428871.9800000004</v>
      </c>
      <c r="K127" s="373">
        <v>65</v>
      </c>
      <c r="L127" s="374">
        <v>3940965.46</v>
      </c>
      <c r="M127" s="372">
        <v>65</v>
      </c>
      <c r="N127" s="372">
        <v>3649342.7199999997</v>
      </c>
      <c r="O127" s="372">
        <v>3170429.9699999997</v>
      </c>
      <c r="P127" s="369">
        <v>2913750.47</v>
      </c>
      <c r="Q127" s="369">
        <v>1056623.5200000005</v>
      </c>
    </row>
    <row r="128" spans="1:17" ht="12" customHeight="1">
      <c r="A128" s="93"/>
      <c r="B128" s="362" t="s">
        <v>436</v>
      </c>
      <c r="C128" s="363" t="s">
        <v>1272</v>
      </c>
      <c r="D128" s="363" t="s">
        <v>155</v>
      </c>
      <c r="E128" s="364" t="s">
        <v>1273</v>
      </c>
      <c r="F128" s="365">
        <v>2870771.04</v>
      </c>
      <c r="G128" s="364">
        <v>32</v>
      </c>
      <c r="H128" s="365">
        <v>3013961.9400000004</v>
      </c>
      <c r="I128" s="364">
        <v>32</v>
      </c>
      <c r="J128" s="366">
        <v>2910667.83</v>
      </c>
      <c r="K128" s="367">
        <v>32</v>
      </c>
      <c r="L128" s="368">
        <v>2960601.76</v>
      </c>
      <c r="M128" s="366">
        <v>32</v>
      </c>
      <c r="N128" s="366">
        <v>2887360.55</v>
      </c>
      <c r="O128" s="366">
        <v>2733099.26</v>
      </c>
      <c r="P128" s="362">
        <v>2723735.96</v>
      </c>
      <c r="Q128" s="363">
        <v>-16589.509999999776</v>
      </c>
    </row>
    <row r="129" spans="1:17" ht="12" customHeight="1">
      <c r="A129" s="93"/>
      <c r="B129" s="369" t="s">
        <v>438</v>
      </c>
      <c r="C129" s="369" t="s">
        <v>1274</v>
      </c>
      <c r="D129" s="369" t="s">
        <v>29</v>
      </c>
      <c r="E129" s="370" t="s">
        <v>1271</v>
      </c>
      <c r="F129" s="377">
        <v>1303686.31</v>
      </c>
      <c r="G129" s="378">
        <v>32</v>
      </c>
      <c r="H129" s="371">
        <v>1369565.41</v>
      </c>
      <c r="I129" s="370">
        <v>32</v>
      </c>
      <c r="J129" s="372">
        <v>1404186.15</v>
      </c>
      <c r="K129" s="373">
        <v>32</v>
      </c>
      <c r="L129" s="374">
        <v>1420055.03</v>
      </c>
      <c r="M129" s="372">
        <v>32</v>
      </c>
      <c r="N129" s="372">
        <v>1349779.1400000001</v>
      </c>
      <c r="O129" s="372">
        <v>1398372.63</v>
      </c>
      <c r="P129" s="369">
        <v>1385089.42</v>
      </c>
      <c r="Q129" s="369">
        <v>-46092.830000000075</v>
      </c>
    </row>
    <row r="130" spans="1:17" ht="12" customHeight="1">
      <c r="A130" s="93"/>
      <c r="B130" s="362" t="s">
        <v>440</v>
      </c>
      <c r="C130" s="363" t="s">
        <v>1272</v>
      </c>
      <c r="D130" s="363" t="s">
        <v>112</v>
      </c>
      <c r="E130" s="364" t="s">
        <v>1271</v>
      </c>
      <c r="F130" s="365">
        <v>11947918.460000001</v>
      </c>
      <c r="G130" s="364">
        <v>80</v>
      </c>
      <c r="H130" s="365">
        <v>11518038.75</v>
      </c>
      <c r="I130" s="364">
        <v>80</v>
      </c>
      <c r="J130" s="366">
        <v>10899754.26</v>
      </c>
      <c r="K130" s="367">
        <v>75</v>
      </c>
      <c r="L130" s="368">
        <v>10624808.48</v>
      </c>
      <c r="M130" s="366">
        <v>73</v>
      </c>
      <c r="N130" s="366">
        <v>10406368.859999999</v>
      </c>
      <c r="O130" s="366">
        <v>9395744.5800000001</v>
      </c>
      <c r="P130" s="362">
        <v>9216654.4700000007</v>
      </c>
      <c r="Q130" s="363">
        <v>1541549.6000000015</v>
      </c>
    </row>
    <row r="131" spans="1:17" ht="12" customHeight="1">
      <c r="A131" s="93"/>
      <c r="B131" s="369" t="s">
        <v>442</v>
      </c>
      <c r="C131" s="369" t="s">
        <v>1272</v>
      </c>
      <c r="D131" s="369" t="s">
        <v>112</v>
      </c>
      <c r="E131" s="370" t="s">
        <v>1273</v>
      </c>
      <c r="F131" s="377">
        <v>14608773.649999999</v>
      </c>
      <c r="G131" s="378">
        <v>79</v>
      </c>
      <c r="H131" s="371">
        <v>15004227.559999999</v>
      </c>
      <c r="I131" s="370">
        <v>80</v>
      </c>
      <c r="J131" s="372">
        <v>14654026.75</v>
      </c>
      <c r="K131" s="373">
        <v>80</v>
      </c>
      <c r="L131" s="374">
        <v>15104468.690000001</v>
      </c>
      <c r="M131" s="372">
        <v>74</v>
      </c>
      <c r="N131" s="372">
        <v>15785010.93</v>
      </c>
      <c r="O131" s="372">
        <v>16093668.640000001</v>
      </c>
      <c r="P131" s="369">
        <v>14948175.690000001</v>
      </c>
      <c r="Q131" s="369">
        <v>-1176237.2800000012</v>
      </c>
    </row>
    <row r="132" spans="1:17" ht="12" customHeight="1">
      <c r="A132" s="93"/>
      <c r="B132" s="362" t="s">
        <v>444</v>
      </c>
      <c r="C132" s="363" t="s">
        <v>1272</v>
      </c>
      <c r="D132" s="363" t="s">
        <v>112</v>
      </c>
      <c r="E132" s="364" t="s">
        <v>1273</v>
      </c>
      <c r="F132" s="365">
        <v>8198907.4299999997</v>
      </c>
      <c r="G132" s="364">
        <v>55</v>
      </c>
      <c r="H132" s="365">
        <v>8255063.1900000004</v>
      </c>
      <c r="I132" s="364">
        <v>55</v>
      </c>
      <c r="J132" s="366">
        <v>7912663.5899999999</v>
      </c>
      <c r="K132" s="367">
        <v>55</v>
      </c>
      <c r="L132" s="368">
        <v>8932614.879999999</v>
      </c>
      <c r="M132" s="366">
        <v>55</v>
      </c>
      <c r="N132" s="366">
        <v>8332598.5700000003</v>
      </c>
      <c r="O132" s="366">
        <v>7649596.1400000006</v>
      </c>
      <c r="P132" s="362">
        <v>8562425.629999999</v>
      </c>
      <c r="Q132" s="363">
        <v>-133691.1400000006</v>
      </c>
    </row>
    <row r="133" spans="1:17" ht="12" customHeight="1">
      <c r="A133" s="93"/>
      <c r="B133" s="369" t="s">
        <v>1485</v>
      </c>
      <c r="C133" s="369" t="s">
        <v>1272</v>
      </c>
      <c r="D133" s="369" t="s">
        <v>159</v>
      </c>
      <c r="E133" s="370" t="s">
        <v>1273</v>
      </c>
      <c r="F133" s="377">
        <v>5960523.7300000004</v>
      </c>
      <c r="G133" s="378">
        <v>50</v>
      </c>
      <c r="H133" s="371">
        <v>5264208.84</v>
      </c>
      <c r="I133" s="370">
        <v>50</v>
      </c>
      <c r="J133" s="372">
        <v>4802768.29</v>
      </c>
      <c r="K133" s="373">
        <v>50</v>
      </c>
      <c r="L133" s="374">
        <v>4807638.3699999992</v>
      </c>
      <c r="M133" s="372">
        <v>40</v>
      </c>
      <c r="N133" s="372">
        <v>4097128.18</v>
      </c>
      <c r="O133" s="372">
        <v>3551213.26</v>
      </c>
      <c r="P133" s="369">
        <v>3960133.52</v>
      </c>
      <c r="Q133" s="369">
        <v>1863395.5500000003</v>
      </c>
    </row>
    <row r="134" spans="1:17" ht="12" customHeight="1">
      <c r="A134" s="93"/>
      <c r="B134" s="362" t="s">
        <v>448</v>
      </c>
      <c r="C134" s="363" t="s">
        <v>1272</v>
      </c>
      <c r="D134" s="363" t="s">
        <v>161</v>
      </c>
      <c r="E134" s="364" t="s">
        <v>1273</v>
      </c>
      <c r="F134" s="365">
        <v>1995805.08</v>
      </c>
      <c r="G134" s="364">
        <v>40</v>
      </c>
      <c r="H134" s="365">
        <v>2189557.7400000002</v>
      </c>
      <c r="I134" s="364">
        <v>40</v>
      </c>
      <c r="J134" s="366">
        <v>2235831.5099999998</v>
      </c>
      <c r="K134" s="367">
        <v>40</v>
      </c>
      <c r="L134" s="368">
        <v>2342128.62</v>
      </c>
      <c r="M134" s="366">
        <v>40</v>
      </c>
      <c r="N134" s="366">
        <v>2428360.8899999997</v>
      </c>
      <c r="O134" s="366">
        <v>2072760.23</v>
      </c>
      <c r="P134" s="362">
        <v>2262994.84</v>
      </c>
      <c r="Q134" s="363">
        <v>-432555.80999999959</v>
      </c>
    </row>
    <row r="135" spans="1:17" ht="12" customHeight="1">
      <c r="A135" s="93"/>
      <c r="B135" s="369" t="s">
        <v>450</v>
      </c>
      <c r="C135" s="369" t="s">
        <v>1272</v>
      </c>
      <c r="D135" s="369" t="s">
        <v>137</v>
      </c>
      <c r="E135" s="370" t="s">
        <v>1273</v>
      </c>
      <c r="F135" s="377">
        <v>15644820.529999999</v>
      </c>
      <c r="G135" s="378">
        <v>90</v>
      </c>
      <c r="H135" s="371">
        <v>15486776.09</v>
      </c>
      <c r="I135" s="370">
        <v>90</v>
      </c>
      <c r="J135" s="372">
        <v>14826225.91</v>
      </c>
      <c r="K135" s="373">
        <v>90</v>
      </c>
      <c r="L135" s="374">
        <v>15251891.449999999</v>
      </c>
      <c r="M135" s="372">
        <v>90</v>
      </c>
      <c r="N135" s="372">
        <v>15203550.050000001</v>
      </c>
      <c r="O135" s="372">
        <v>14660687.030000001</v>
      </c>
      <c r="P135" s="369">
        <v>14308499.16</v>
      </c>
      <c r="Q135" s="369">
        <v>441270.47999999858</v>
      </c>
    </row>
    <row r="136" spans="1:17" ht="12" customHeight="1">
      <c r="A136" s="93"/>
      <c r="B136" s="362" t="s">
        <v>452</v>
      </c>
      <c r="C136" s="363" t="s">
        <v>1272</v>
      </c>
      <c r="D136" s="363" t="s">
        <v>142</v>
      </c>
      <c r="E136" s="364" t="s">
        <v>1273</v>
      </c>
      <c r="F136" s="365">
        <v>12362444.77</v>
      </c>
      <c r="G136" s="364">
        <v>85</v>
      </c>
      <c r="H136" s="365">
        <v>12867212.609999999</v>
      </c>
      <c r="I136" s="364">
        <v>85</v>
      </c>
      <c r="J136" s="366">
        <v>11726318.219999999</v>
      </c>
      <c r="K136" s="367">
        <v>85</v>
      </c>
      <c r="L136" s="368">
        <v>12644110.739999998</v>
      </c>
      <c r="M136" s="366">
        <v>85</v>
      </c>
      <c r="N136" s="366">
        <v>12965605.809999999</v>
      </c>
      <c r="O136" s="366">
        <v>14022456.99</v>
      </c>
      <c r="P136" s="362">
        <v>14041805.989999998</v>
      </c>
      <c r="Q136" s="363">
        <v>-603161.03999999911</v>
      </c>
    </row>
    <row r="137" spans="1:17" ht="12" customHeight="1">
      <c r="A137" s="93"/>
      <c r="B137" s="369" t="s">
        <v>454</v>
      </c>
      <c r="C137" s="369" t="s">
        <v>1272</v>
      </c>
      <c r="D137" s="369" t="s">
        <v>145</v>
      </c>
      <c r="E137" s="370" t="s">
        <v>1273</v>
      </c>
      <c r="F137" s="377">
        <v>16765117.359999999</v>
      </c>
      <c r="G137" s="378">
        <v>97</v>
      </c>
      <c r="H137" s="371">
        <v>16730697.52</v>
      </c>
      <c r="I137" s="370">
        <v>97</v>
      </c>
      <c r="J137" s="372">
        <v>16320333.66</v>
      </c>
      <c r="K137" s="373">
        <v>97</v>
      </c>
      <c r="L137" s="374">
        <v>16737188.960000001</v>
      </c>
      <c r="M137" s="372">
        <v>97</v>
      </c>
      <c r="N137" s="372">
        <v>15803524.84</v>
      </c>
      <c r="O137" s="372">
        <v>16042699.140000001</v>
      </c>
      <c r="P137" s="369">
        <v>15751952.02</v>
      </c>
      <c r="Q137" s="369">
        <v>961592.51999999955</v>
      </c>
    </row>
    <row r="138" spans="1:17" ht="12" customHeight="1">
      <c r="A138" s="93"/>
      <c r="B138" s="362" t="s">
        <v>456</v>
      </c>
      <c r="C138" s="363" t="s">
        <v>1272</v>
      </c>
      <c r="D138" s="363" t="s">
        <v>155</v>
      </c>
      <c r="E138" s="364" t="s">
        <v>1273</v>
      </c>
      <c r="F138" s="365">
        <v>5009114.8</v>
      </c>
      <c r="G138" s="364">
        <v>41</v>
      </c>
      <c r="H138" s="365">
        <v>5063035.25</v>
      </c>
      <c r="I138" s="364">
        <v>41</v>
      </c>
      <c r="J138" s="366">
        <v>4637178.6500000004</v>
      </c>
      <c r="K138" s="367">
        <v>41</v>
      </c>
      <c r="L138" s="368">
        <v>4768470.43</v>
      </c>
      <c r="M138" s="366">
        <v>41</v>
      </c>
      <c r="N138" s="366">
        <v>4934503.2300000004</v>
      </c>
      <c r="O138" s="366">
        <v>5130721.59</v>
      </c>
      <c r="P138" s="362">
        <v>5154305.42</v>
      </c>
      <c r="Q138" s="363">
        <v>74611.569999999367</v>
      </c>
    </row>
    <row r="139" spans="1:17" ht="12" customHeight="1">
      <c r="A139" s="93"/>
      <c r="B139" s="369" t="s">
        <v>458</v>
      </c>
      <c r="C139" s="369" t="s">
        <v>1272</v>
      </c>
      <c r="D139" s="369" t="s">
        <v>154</v>
      </c>
      <c r="E139" s="370" t="s">
        <v>1273</v>
      </c>
      <c r="F139" s="377">
        <v>8973572.0999999996</v>
      </c>
      <c r="G139" s="378">
        <v>75</v>
      </c>
      <c r="H139" s="371">
        <v>9575342.9299999997</v>
      </c>
      <c r="I139" s="370">
        <v>75</v>
      </c>
      <c r="J139" s="372">
        <v>9330436.2100000009</v>
      </c>
      <c r="K139" s="373">
        <v>75</v>
      </c>
      <c r="L139" s="374">
        <v>10209794.02</v>
      </c>
      <c r="M139" s="372">
        <v>75</v>
      </c>
      <c r="N139" s="372">
        <v>9679317.4100000001</v>
      </c>
      <c r="O139" s="372">
        <v>9658699.7800000012</v>
      </c>
      <c r="P139" s="369">
        <v>9880561.6600000001</v>
      </c>
      <c r="Q139" s="369">
        <v>-705745.31000000052</v>
      </c>
    </row>
    <row r="140" spans="1:17" ht="12" customHeight="1">
      <c r="A140" s="93"/>
      <c r="B140" s="362" t="s">
        <v>460</v>
      </c>
      <c r="C140" s="363" t="s">
        <v>1272</v>
      </c>
      <c r="D140" s="363" t="s">
        <v>154</v>
      </c>
      <c r="E140" s="364" t="s">
        <v>1273</v>
      </c>
      <c r="F140" s="365">
        <v>7516722.7400000002</v>
      </c>
      <c r="G140" s="364">
        <v>50</v>
      </c>
      <c r="H140" s="365">
        <v>7677145.1100000003</v>
      </c>
      <c r="I140" s="364">
        <v>50</v>
      </c>
      <c r="J140" s="366">
        <v>7652273.25</v>
      </c>
      <c r="K140" s="367">
        <v>50</v>
      </c>
      <c r="L140" s="368">
        <v>7611666.8100000005</v>
      </c>
      <c r="M140" s="366">
        <v>50</v>
      </c>
      <c r="N140" s="366">
        <v>6607574.1199999992</v>
      </c>
      <c r="O140" s="366">
        <v>6381526.3599999994</v>
      </c>
      <c r="P140" s="362">
        <v>5956597.5299999993</v>
      </c>
      <c r="Q140" s="363">
        <v>909148.62000000104</v>
      </c>
    </row>
    <row r="141" spans="1:17" ht="12" customHeight="1">
      <c r="A141" s="93"/>
      <c r="B141" s="369" t="s">
        <v>1531</v>
      </c>
      <c r="C141" s="369" t="s">
        <v>1272</v>
      </c>
      <c r="D141" s="369" t="s">
        <v>166</v>
      </c>
      <c r="E141" s="370" t="s">
        <v>1271</v>
      </c>
      <c r="F141" s="377">
        <v>121118.25</v>
      </c>
      <c r="G141" s="378">
        <v>0</v>
      </c>
      <c r="H141" s="371"/>
      <c r="I141" s="370"/>
      <c r="J141" s="372"/>
      <c r="K141" s="373"/>
      <c r="L141" s="374"/>
      <c r="M141" s="372"/>
      <c r="N141" s="372"/>
      <c r="O141" s="372"/>
      <c r="P141" s="369"/>
      <c r="Q141" s="369"/>
    </row>
    <row r="142" spans="1:17" ht="12" customHeight="1">
      <c r="A142" s="93"/>
      <c r="B142" s="362" t="s">
        <v>464</v>
      </c>
      <c r="C142" s="363" t="s">
        <v>1272</v>
      </c>
      <c r="D142" s="363" t="s">
        <v>145</v>
      </c>
      <c r="E142" s="364" t="s">
        <v>1271</v>
      </c>
      <c r="F142" s="365">
        <v>187238.07</v>
      </c>
      <c r="G142" s="364">
        <v>19</v>
      </c>
      <c r="H142" s="365">
        <v>202601.1</v>
      </c>
      <c r="I142" s="364">
        <v>19</v>
      </c>
      <c r="J142" s="366">
        <v>209065.21</v>
      </c>
      <c r="K142" s="367">
        <v>19</v>
      </c>
      <c r="L142" s="368">
        <v>234190.40000000002</v>
      </c>
      <c r="M142" s="366">
        <v>19</v>
      </c>
      <c r="N142" s="366">
        <v>283560.76</v>
      </c>
      <c r="O142" s="366">
        <v>280856.37</v>
      </c>
      <c r="P142" s="362">
        <v>244265.74</v>
      </c>
      <c r="Q142" s="363">
        <v>-96322.69</v>
      </c>
    </row>
    <row r="143" spans="1:17" ht="12" customHeight="1">
      <c r="A143" s="93"/>
      <c r="B143" s="369" t="s">
        <v>466</v>
      </c>
      <c r="C143" s="369" t="s">
        <v>1274</v>
      </c>
      <c r="D143" s="369" t="s">
        <v>114</v>
      </c>
      <c r="E143" s="370" t="s">
        <v>1273</v>
      </c>
      <c r="F143" s="377">
        <v>919942.08000000007</v>
      </c>
      <c r="G143" s="378">
        <v>30</v>
      </c>
      <c r="H143" s="371">
        <v>1000271.89</v>
      </c>
      <c r="I143" s="370">
        <v>30</v>
      </c>
      <c r="J143" s="372">
        <v>991404.26</v>
      </c>
      <c r="K143" s="373">
        <v>30</v>
      </c>
      <c r="L143" s="374">
        <v>997020.13</v>
      </c>
      <c r="M143" s="372">
        <v>30</v>
      </c>
      <c r="N143" s="372">
        <v>816785.44</v>
      </c>
      <c r="O143" s="372">
        <v>812734.61</v>
      </c>
      <c r="P143" s="369">
        <v>862361.55</v>
      </c>
      <c r="Q143" s="369">
        <v>103156.64000000013</v>
      </c>
    </row>
    <row r="144" spans="1:17" ht="12" customHeight="1">
      <c r="A144" s="93"/>
      <c r="B144" s="362" t="s">
        <v>468</v>
      </c>
      <c r="C144" s="363" t="s">
        <v>1274</v>
      </c>
      <c r="D144" s="363" t="s">
        <v>114</v>
      </c>
      <c r="E144" s="364" t="s">
        <v>1271</v>
      </c>
      <c r="F144" s="365">
        <v>3497593.56</v>
      </c>
      <c r="G144" s="364">
        <v>84</v>
      </c>
      <c r="H144" s="365">
        <v>2944253.33</v>
      </c>
      <c r="I144" s="364">
        <v>84</v>
      </c>
      <c r="J144" s="366">
        <v>3406559.5700000003</v>
      </c>
      <c r="K144" s="367">
        <v>83</v>
      </c>
      <c r="L144" s="368">
        <v>3336211.3000000003</v>
      </c>
      <c r="M144" s="366">
        <v>84</v>
      </c>
      <c r="N144" s="366">
        <v>3412001.7</v>
      </c>
      <c r="O144" s="366">
        <v>3246704.26</v>
      </c>
      <c r="P144" s="362">
        <v>3390184.81</v>
      </c>
      <c r="Q144" s="363">
        <v>85591.85999999987</v>
      </c>
    </row>
    <row r="145" spans="1:17" ht="12" customHeight="1">
      <c r="A145" s="93"/>
      <c r="B145" s="369" t="s">
        <v>470</v>
      </c>
      <c r="C145" s="369" t="s">
        <v>1272</v>
      </c>
      <c r="D145" s="369" t="s">
        <v>137</v>
      </c>
      <c r="E145" s="370" t="s">
        <v>1271</v>
      </c>
      <c r="F145" s="377">
        <v>4474918.74</v>
      </c>
      <c r="G145" s="378">
        <v>80</v>
      </c>
      <c r="H145" s="371">
        <v>4530121.8599999994</v>
      </c>
      <c r="I145" s="370">
        <v>80</v>
      </c>
      <c r="J145" s="372">
        <v>4143507.74</v>
      </c>
      <c r="K145" s="373">
        <v>80</v>
      </c>
      <c r="L145" s="374">
        <v>4041921.75</v>
      </c>
      <c r="M145" s="372">
        <v>80</v>
      </c>
      <c r="N145" s="372">
        <v>3800548.39</v>
      </c>
      <c r="O145" s="372">
        <v>3633649.7</v>
      </c>
      <c r="P145" s="369">
        <v>3308480.89</v>
      </c>
      <c r="Q145" s="369">
        <v>674370.35000000009</v>
      </c>
    </row>
    <row r="146" spans="1:17" ht="12" customHeight="1">
      <c r="A146" s="93"/>
      <c r="B146" s="362" t="s">
        <v>472</v>
      </c>
      <c r="C146" s="363" t="s">
        <v>1272</v>
      </c>
      <c r="D146" s="363" t="s">
        <v>120</v>
      </c>
      <c r="E146" s="364" t="s">
        <v>1273</v>
      </c>
      <c r="F146" s="365">
        <v>13251226.210000001</v>
      </c>
      <c r="G146" s="364">
        <v>100</v>
      </c>
      <c r="H146" s="365">
        <v>13238403.190000001</v>
      </c>
      <c r="I146" s="364">
        <v>100</v>
      </c>
      <c r="J146" s="366">
        <v>13482371.710000001</v>
      </c>
      <c r="K146" s="367">
        <v>100</v>
      </c>
      <c r="L146" s="368">
        <v>13880685.09</v>
      </c>
      <c r="M146" s="366">
        <v>100</v>
      </c>
      <c r="N146" s="366">
        <v>13585256.440000001</v>
      </c>
      <c r="O146" s="366">
        <v>12925109.260000002</v>
      </c>
      <c r="P146" s="362">
        <v>12861408.640000001</v>
      </c>
      <c r="Q146" s="363">
        <v>-334030.23000000045</v>
      </c>
    </row>
    <row r="147" spans="1:17" ht="12" customHeight="1">
      <c r="A147" s="93"/>
      <c r="B147" s="369" t="s">
        <v>474</v>
      </c>
      <c r="C147" s="369" t="s">
        <v>1274</v>
      </c>
      <c r="D147" s="369" t="s">
        <v>181</v>
      </c>
      <c r="E147" s="370" t="s">
        <v>1273</v>
      </c>
      <c r="F147" s="377">
        <v>4632779.6400000006</v>
      </c>
      <c r="G147" s="378">
        <v>80</v>
      </c>
      <c r="H147" s="371">
        <v>4741326.7699999996</v>
      </c>
      <c r="I147" s="370">
        <v>80</v>
      </c>
      <c r="J147" s="372">
        <v>4572077.57</v>
      </c>
      <c r="K147" s="373">
        <v>80</v>
      </c>
      <c r="L147" s="374">
        <v>4987973.88</v>
      </c>
      <c r="M147" s="372">
        <v>80</v>
      </c>
      <c r="N147" s="372">
        <v>4845531.0600000005</v>
      </c>
      <c r="O147" s="372">
        <v>4425281.57</v>
      </c>
      <c r="P147" s="369">
        <v>4769914.58</v>
      </c>
      <c r="Q147" s="369">
        <v>-212751.41999999993</v>
      </c>
    </row>
    <row r="148" spans="1:17" ht="12" customHeight="1">
      <c r="A148" s="93"/>
      <c r="B148" s="362" t="s">
        <v>1297</v>
      </c>
      <c r="C148" s="363" t="s">
        <v>1272</v>
      </c>
      <c r="D148" s="363" t="s">
        <v>124</v>
      </c>
      <c r="E148" s="364" t="s">
        <v>1271</v>
      </c>
      <c r="F148" s="365">
        <v>1752877.08</v>
      </c>
      <c r="G148" s="364">
        <v>32</v>
      </c>
      <c r="H148" s="365">
        <v>1897118.1600000001</v>
      </c>
      <c r="I148" s="364">
        <v>32</v>
      </c>
      <c r="J148" s="366">
        <v>2081350.41</v>
      </c>
      <c r="K148" s="367">
        <v>32</v>
      </c>
      <c r="L148" s="368">
        <v>2222325.2000000002</v>
      </c>
      <c r="M148" s="366">
        <v>32</v>
      </c>
      <c r="N148" s="366">
        <v>2260733.75</v>
      </c>
      <c r="O148" s="366">
        <v>2056611.0899999999</v>
      </c>
      <c r="P148" s="362">
        <v>2388402.36</v>
      </c>
      <c r="Q148" s="363">
        <v>-507856.66999999993</v>
      </c>
    </row>
    <row r="149" spans="1:17" ht="12" customHeight="1">
      <c r="A149" s="93"/>
      <c r="B149" s="369" t="s">
        <v>476</v>
      </c>
      <c r="C149" s="369" t="s">
        <v>1272</v>
      </c>
      <c r="D149" s="369" t="s">
        <v>161</v>
      </c>
      <c r="E149" s="370" t="s">
        <v>1273</v>
      </c>
      <c r="F149" s="377">
        <v>1752593.6400000001</v>
      </c>
      <c r="G149" s="378">
        <v>28</v>
      </c>
      <c r="H149" s="371">
        <v>1709928.59</v>
      </c>
      <c r="I149" s="370">
        <v>28</v>
      </c>
      <c r="J149" s="372">
        <v>1587182.37</v>
      </c>
      <c r="K149" s="373">
        <v>28</v>
      </c>
      <c r="L149" s="374">
        <v>1610236.75</v>
      </c>
      <c r="M149" s="372">
        <v>28</v>
      </c>
      <c r="N149" s="372">
        <v>1492846.4</v>
      </c>
      <c r="O149" s="372">
        <v>1729930.4</v>
      </c>
      <c r="P149" s="369">
        <v>1718534.58</v>
      </c>
      <c r="Q149" s="369">
        <v>259747.24000000022</v>
      </c>
    </row>
    <row r="150" spans="1:17" ht="12" customHeight="1">
      <c r="A150" s="93"/>
      <c r="B150" s="362" t="s">
        <v>478</v>
      </c>
      <c r="C150" s="363" t="s">
        <v>1272</v>
      </c>
      <c r="D150" s="363" t="s">
        <v>159</v>
      </c>
      <c r="E150" s="364" t="s">
        <v>1273</v>
      </c>
      <c r="F150" s="365">
        <v>3889564.5</v>
      </c>
      <c r="G150" s="364">
        <v>40</v>
      </c>
      <c r="H150" s="365">
        <v>3733751.5700000003</v>
      </c>
      <c r="I150" s="364">
        <v>40</v>
      </c>
      <c r="J150" s="366">
        <v>3495754.3200000003</v>
      </c>
      <c r="K150" s="367">
        <v>40</v>
      </c>
      <c r="L150" s="368">
        <v>3444782.3200000003</v>
      </c>
      <c r="M150" s="366">
        <v>40</v>
      </c>
      <c r="N150" s="366">
        <v>3417218.26</v>
      </c>
      <c r="O150" s="366">
        <v>3730317.21</v>
      </c>
      <c r="P150" s="362">
        <v>3801045.03</v>
      </c>
      <c r="Q150" s="363">
        <v>472346.24000000022</v>
      </c>
    </row>
    <row r="151" spans="1:17" ht="12" customHeight="1">
      <c r="A151" s="93"/>
      <c r="B151" s="369" t="s">
        <v>484</v>
      </c>
      <c r="C151" s="369" t="s">
        <v>1272</v>
      </c>
      <c r="D151" s="369" t="s">
        <v>174</v>
      </c>
      <c r="E151" s="370" t="s">
        <v>1273</v>
      </c>
      <c r="F151" s="377">
        <v>7717738.7000000002</v>
      </c>
      <c r="G151" s="378">
        <v>40</v>
      </c>
      <c r="H151" s="371">
        <v>7373008.7799999993</v>
      </c>
      <c r="I151" s="370">
        <v>40</v>
      </c>
      <c r="J151" s="372">
        <v>7550508.5099999998</v>
      </c>
      <c r="K151" s="373">
        <v>40</v>
      </c>
      <c r="L151" s="374">
        <v>7615008.5800000001</v>
      </c>
      <c r="M151" s="372">
        <v>40</v>
      </c>
      <c r="N151" s="372">
        <v>7488664.8399999999</v>
      </c>
      <c r="O151" s="372">
        <v>7337183.2699999996</v>
      </c>
      <c r="P151" s="369">
        <v>7674718.0099999998</v>
      </c>
      <c r="Q151" s="369">
        <v>229073.86000000034</v>
      </c>
    </row>
    <row r="152" spans="1:17" ht="12" customHeight="1">
      <c r="A152" s="93"/>
      <c r="B152" s="362" t="s">
        <v>486</v>
      </c>
      <c r="C152" s="363" t="s">
        <v>1272</v>
      </c>
      <c r="D152" s="363" t="s">
        <v>174</v>
      </c>
      <c r="E152" s="364" t="s">
        <v>1273</v>
      </c>
      <c r="F152" s="365">
        <v>20233635.270000003</v>
      </c>
      <c r="G152" s="364">
        <v>100</v>
      </c>
      <c r="H152" s="365">
        <v>20796649.649999999</v>
      </c>
      <c r="I152" s="364">
        <v>100</v>
      </c>
      <c r="J152" s="366">
        <v>20963343.359999999</v>
      </c>
      <c r="K152" s="367">
        <v>100</v>
      </c>
      <c r="L152" s="368">
        <v>21108174.18</v>
      </c>
      <c r="M152" s="366">
        <v>100</v>
      </c>
      <c r="N152" s="366">
        <v>21137399.07</v>
      </c>
      <c r="O152" s="366">
        <v>21750521.719999999</v>
      </c>
      <c r="P152" s="362">
        <v>21033163.420000002</v>
      </c>
      <c r="Q152" s="363">
        <v>-903763.79999999702</v>
      </c>
    </row>
    <row r="153" spans="1:17" ht="12" customHeight="1">
      <c r="A153" s="93"/>
      <c r="B153" s="369" t="s">
        <v>488</v>
      </c>
      <c r="C153" s="369" t="s">
        <v>1272</v>
      </c>
      <c r="D153" s="369" t="s">
        <v>174</v>
      </c>
      <c r="E153" s="370" t="s">
        <v>1271</v>
      </c>
      <c r="F153" s="377">
        <v>4868842.49</v>
      </c>
      <c r="G153" s="378">
        <v>45</v>
      </c>
      <c r="H153" s="371">
        <v>4511803.25</v>
      </c>
      <c r="I153" s="370">
        <v>45</v>
      </c>
      <c r="J153" s="372">
        <v>4305105.55</v>
      </c>
      <c r="K153" s="373">
        <v>45</v>
      </c>
      <c r="L153" s="374">
        <v>4156093.48</v>
      </c>
      <c r="M153" s="372">
        <v>45</v>
      </c>
      <c r="N153" s="372">
        <v>3254926.3499999996</v>
      </c>
      <c r="O153" s="372">
        <v>3203430.7199999997</v>
      </c>
      <c r="P153" s="369">
        <v>2856608.21</v>
      </c>
      <c r="Q153" s="369">
        <v>1613916.1400000006</v>
      </c>
    </row>
    <row r="154" spans="1:17" ht="12" customHeight="1">
      <c r="A154" s="93"/>
      <c r="B154" s="362" t="s">
        <v>490</v>
      </c>
      <c r="C154" s="363" t="s">
        <v>1274</v>
      </c>
      <c r="D154" s="363" t="s">
        <v>107</v>
      </c>
      <c r="E154" s="364" t="s">
        <v>1273</v>
      </c>
      <c r="F154" s="365">
        <v>1133891.49</v>
      </c>
      <c r="G154" s="364">
        <v>17</v>
      </c>
      <c r="H154" s="365">
        <v>885855.22</v>
      </c>
      <c r="I154" s="364">
        <v>17</v>
      </c>
      <c r="J154" s="366"/>
      <c r="K154" s="367"/>
      <c r="L154" s="368"/>
      <c r="M154" s="366"/>
      <c r="N154" s="366"/>
      <c r="O154" s="366"/>
      <c r="P154" s="362"/>
      <c r="Q154" s="363">
        <v>1133891.49</v>
      </c>
    </row>
    <row r="155" spans="1:17" ht="12" customHeight="1">
      <c r="A155" s="93"/>
      <c r="B155" s="369" t="s">
        <v>1275</v>
      </c>
      <c r="C155" s="369" t="s">
        <v>1272</v>
      </c>
      <c r="D155" s="369" t="s">
        <v>152</v>
      </c>
      <c r="E155" s="370" t="s">
        <v>1271</v>
      </c>
      <c r="F155" s="377">
        <v>5295945.16</v>
      </c>
      <c r="G155" s="378">
        <v>99</v>
      </c>
      <c r="H155" s="371">
        <v>5869768.6699999999</v>
      </c>
      <c r="I155" s="370">
        <v>100</v>
      </c>
      <c r="J155" s="372">
        <v>6174090.46</v>
      </c>
      <c r="K155" s="373">
        <v>100</v>
      </c>
      <c r="L155" s="374">
        <v>6337864.1400000006</v>
      </c>
      <c r="M155" s="372">
        <v>100</v>
      </c>
      <c r="N155" s="372">
        <v>6651426.1299999999</v>
      </c>
      <c r="O155" s="372">
        <v>6150471.6600000001</v>
      </c>
      <c r="P155" s="369">
        <v>6283215.4500000002</v>
      </c>
      <c r="Q155" s="369">
        <v>-1355480.9699999997</v>
      </c>
    </row>
    <row r="156" spans="1:17" ht="12" customHeight="1">
      <c r="A156" s="93"/>
      <c r="B156" s="362" t="s">
        <v>497</v>
      </c>
      <c r="C156" s="363" t="s">
        <v>1272</v>
      </c>
      <c r="D156" s="363" t="s">
        <v>174</v>
      </c>
      <c r="E156" s="364" t="s">
        <v>1273</v>
      </c>
      <c r="F156" s="365">
        <v>16447520.43</v>
      </c>
      <c r="G156" s="364">
        <v>89</v>
      </c>
      <c r="H156" s="365">
        <v>17038301.809999999</v>
      </c>
      <c r="I156" s="364">
        <v>89</v>
      </c>
      <c r="J156" s="366">
        <v>16246634.560000001</v>
      </c>
      <c r="K156" s="367">
        <v>89</v>
      </c>
      <c r="L156" s="368">
        <v>15585384.359999999</v>
      </c>
      <c r="M156" s="366">
        <v>89</v>
      </c>
      <c r="N156" s="366">
        <v>15901820.690000001</v>
      </c>
      <c r="O156" s="366">
        <v>15133134.050000001</v>
      </c>
      <c r="P156" s="362">
        <v>14720594.98</v>
      </c>
      <c r="Q156" s="363">
        <v>545699.73999999836</v>
      </c>
    </row>
    <row r="157" spans="1:17" ht="12" customHeight="1">
      <c r="A157" s="93"/>
      <c r="B157" s="369" t="s">
        <v>501</v>
      </c>
      <c r="C157" s="369" t="s">
        <v>1274</v>
      </c>
      <c r="D157" s="369" t="s">
        <v>108</v>
      </c>
      <c r="E157" s="370" t="s">
        <v>1273</v>
      </c>
      <c r="F157" s="377">
        <v>2928815.6</v>
      </c>
      <c r="G157" s="378">
        <v>28</v>
      </c>
      <c r="H157" s="371">
        <v>2399457.08</v>
      </c>
      <c r="I157" s="370">
        <v>28</v>
      </c>
      <c r="J157" s="372">
        <v>2275656.59</v>
      </c>
      <c r="K157" s="373">
        <v>28</v>
      </c>
      <c r="L157" s="374">
        <v>2012043.97</v>
      </c>
      <c r="M157" s="372">
        <v>28</v>
      </c>
      <c r="N157" s="372">
        <v>1856418.02</v>
      </c>
      <c r="O157" s="372">
        <v>1857433.25</v>
      </c>
      <c r="P157" s="369">
        <v>1488627.76</v>
      </c>
      <c r="Q157" s="369">
        <v>1072397.58</v>
      </c>
    </row>
    <row r="158" spans="1:17" ht="12" customHeight="1">
      <c r="A158" s="93"/>
      <c r="B158" s="362" t="s">
        <v>503</v>
      </c>
      <c r="C158" s="363" t="s">
        <v>1272</v>
      </c>
      <c r="D158" s="363" t="s">
        <v>154</v>
      </c>
      <c r="E158" s="364" t="s">
        <v>1271</v>
      </c>
      <c r="F158" s="365">
        <v>1473698.53</v>
      </c>
      <c r="G158" s="364">
        <v>35</v>
      </c>
      <c r="H158" s="365">
        <v>1284467.02</v>
      </c>
      <c r="I158" s="364">
        <v>35</v>
      </c>
      <c r="J158" s="366">
        <v>1173892.8900000001</v>
      </c>
      <c r="K158" s="367">
        <v>35</v>
      </c>
      <c r="L158" s="368">
        <v>1257813.1299999999</v>
      </c>
      <c r="M158" s="366">
        <v>35</v>
      </c>
      <c r="N158" s="366">
        <v>1106147.8899999999</v>
      </c>
      <c r="O158" s="366">
        <v>1263558.73</v>
      </c>
      <c r="P158" s="362">
        <v>1350862.39</v>
      </c>
      <c r="Q158" s="363">
        <v>367550.64000000013</v>
      </c>
    </row>
    <row r="159" spans="1:17" ht="12" customHeight="1">
      <c r="A159" s="93"/>
      <c r="B159" s="369" t="s">
        <v>505</v>
      </c>
      <c r="C159" s="369" t="s">
        <v>1272</v>
      </c>
      <c r="D159" s="369" t="s">
        <v>138</v>
      </c>
      <c r="E159" s="370" t="s">
        <v>1271</v>
      </c>
      <c r="F159" s="377">
        <v>1350888.96</v>
      </c>
      <c r="G159" s="378">
        <v>34</v>
      </c>
      <c r="H159" s="371">
        <v>1475472.84</v>
      </c>
      <c r="I159" s="370">
        <v>34</v>
      </c>
      <c r="J159" s="372">
        <v>1625684.07</v>
      </c>
      <c r="K159" s="373">
        <v>34</v>
      </c>
      <c r="L159" s="374">
        <v>1484780.3</v>
      </c>
      <c r="M159" s="372">
        <v>34</v>
      </c>
      <c r="N159" s="372">
        <v>1461084.7000000002</v>
      </c>
      <c r="O159" s="372">
        <v>1344986.96</v>
      </c>
      <c r="P159" s="369">
        <v>1172746.49</v>
      </c>
      <c r="Q159" s="369">
        <v>-110195.74000000022</v>
      </c>
    </row>
    <row r="160" spans="1:17" ht="12" customHeight="1">
      <c r="A160" s="93"/>
      <c r="B160" s="362" t="s">
        <v>507</v>
      </c>
      <c r="C160" s="363" t="s">
        <v>1272</v>
      </c>
      <c r="D160" s="363" t="s">
        <v>138</v>
      </c>
      <c r="E160" s="364" t="s">
        <v>1273</v>
      </c>
      <c r="F160" s="365">
        <v>3659935.8600000003</v>
      </c>
      <c r="G160" s="364">
        <v>49</v>
      </c>
      <c r="H160" s="365">
        <v>3727603.84</v>
      </c>
      <c r="I160" s="364">
        <v>49</v>
      </c>
      <c r="J160" s="366">
        <v>3527194.27</v>
      </c>
      <c r="K160" s="367">
        <v>49</v>
      </c>
      <c r="L160" s="368">
        <v>4159173.26</v>
      </c>
      <c r="M160" s="366">
        <v>49</v>
      </c>
      <c r="N160" s="366">
        <v>4607791.3600000003</v>
      </c>
      <c r="O160" s="366">
        <v>4750276.18</v>
      </c>
      <c r="P160" s="362">
        <v>4803076.0199999996</v>
      </c>
      <c r="Q160" s="363">
        <v>-947855.5</v>
      </c>
    </row>
    <row r="161" spans="1:17" ht="12" customHeight="1">
      <c r="A161" s="93"/>
      <c r="B161" s="369" t="s">
        <v>509</v>
      </c>
      <c r="C161" s="369" t="s">
        <v>1272</v>
      </c>
      <c r="D161" s="369" t="s">
        <v>154</v>
      </c>
      <c r="E161" s="370" t="s">
        <v>1273</v>
      </c>
      <c r="F161" s="377">
        <v>9645136.2400000002</v>
      </c>
      <c r="G161" s="378">
        <v>64</v>
      </c>
      <c r="H161" s="371">
        <v>10400139.300000001</v>
      </c>
      <c r="I161" s="370">
        <v>64</v>
      </c>
      <c r="J161" s="372">
        <v>9452130.2199999988</v>
      </c>
      <c r="K161" s="373">
        <v>64</v>
      </c>
      <c r="L161" s="374">
        <v>9594216.6400000006</v>
      </c>
      <c r="M161" s="372">
        <v>64</v>
      </c>
      <c r="N161" s="372">
        <v>9768229.1600000001</v>
      </c>
      <c r="O161" s="372">
        <v>9569307.9800000004</v>
      </c>
      <c r="P161" s="369">
        <v>9889920.4800000004</v>
      </c>
      <c r="Q161" s="369">
        <v>-123092.91999999993</v>
      </c>
    </row>
    <row r="162" spans="1:17" ht="12" customHeight="1">
      <c r="A162" s="93"/>
      <c r="B162" s="362" t="s">
        <v>513</v>
      </c>
      <c r="C162" s="363" t="s">
        <v>1274</v>
      </c>
      <c r="D162" s="363" t="s">
        <v>179</v>
      </c>
      <c r="E162" s="364" t="s">
        <v>1273</v>
      </c>
      <c r="F162" s="365">
        <v>259923.68</v>
      </c>
      <c r="G162" s="364">
        <v>8</v>
      </c>
      <c r="H162" s="365">
        <v>324740.39</v>
      </c>
      <c r="I162" s="364">
        <v>8</v>
      </c>
      <c r="J162" s="366">
        <v>272619.83</v>
      </c>
      <c r="K162" s="367">
        <v>8</v>
      </c>
      <c r="L162" s="368">
        <v>252735.31</v>
      </c>
      <c r="M162" s="366">
        <v>8</v>
      </c>
      <c r="N162" s="366">
        <v>288043.21999999997</v>
      </c>
      <c r="O162" s="366">
        <v>276115.41000000003</v>
      </c>
      <c r="P162" s="362">
        <v>66197.62</v>
      </c>
      <c r="Q162" s="363">
        <v>-28119.539999999979</v>
      </c>
    </row>
    <row r="163" spans="1:17" ht="12" customHeight="1">
      <c r="A163" s="93"/>
      <c r="B163" s="369" t="s">
        <v>514</v>
      </c>
      <c r="C163" s="369" t="s">
        <v>1272</v>
      </c>
      <c r="D163" s="369" t="s">
        <v>151</v>
      </c>
      <c r="E163" s="370" t="s">
        <v>1273</v>
      </c>
      <c r="F163" s="377">
        <v>4022645.9699999997</v>
      </c>
      <c r="G163" s="378">
        <v>46</v>
      </c>
      <c r="H163" s="371">
        <v>4351298.26</v>
      </c>
      <c r="I163" s="370">
        <v>46</v>
      </c>
      <c r="J163" s="372">
        <v>4048776.04</v>
      </c>
      <c r="K163" s="373">
        <v>46</v>
      </c>
      <c r="L163" s="374">
        <v>4454841.03</v>
      </c>
      <c r="M163" s="372">
        <v>46</v>
      </c>
      <c r="N163" s="372">
        <v>4553014.6099999994</v>
      </c>
      <c r="O163" s="372">
        <v>4541084.87</v>
      </c>
      <c r="P163" s="369">
        <v>5116547.7</v>
      </c>
      <c r="Q163" s="369">
        <v>-530368.63999999966</v>
      </c>
    </row>
    <row r="164" spans="1:17" ht="12" customHeight="1">
      <c r="A164" s="93"/>
      <c r="B164" s="362" t="s">
        <v>516</v>
      </c>
      <c r="C164" s="363" t="s">
        <v>1274</v>
      </c>
      <c r="D164" s="363" t="s">
        <v>164</v>
      </c>
      <c r="E164" s="364" t="s">
        <v>1271</v>
      </c>
      <c r="F164" s="365">
        <v>694447.32000000007</v>
      </c>
      <c r="G164" s="364">
        <v>25</v>
      </c>
      <c r="H164" s="365">
        <v>706848.9</v>
      </c>
      <c r="I164" s="364">
        <v>25</v>
      </c>
      <c r="J164" s="366">
        <v>686645.79</v>
      </c>
      <c r="K164" s="367">
        <v>25</v>
      </c>
      <c r="L164" s="368">
        <v>822229.89999999991</v>
      </c>
      <c r="M164" s="366">
        <v>25</v>
      </c>
      <c r="N164" s="366">
        <v>762456.64</v>
      </c>
      <c r="O164" s="366">
        <v>824075.67999999993</v>
      </c>
      <c r="P164" s="362">
        <v>930936.76</v>
      </c>
      <c r="Q164" s="363">
        <v>-68009.319999999949</v>
      </c>
    </row>
    <row r="165" spans="1:17" ht="12" customHeight="1">
      <c r="A165" s="93"/>
      <c r="B165" s="369" t="s">
        <v>1298</v>
      </c>
      <c r="C165" s="369" t="s">
        <v>1274</v>
      </c>
      <c r="D165" s="369" t="s">
        <v>127</v>
      </c>
      <c r="E165" s="370" t="s">
        <v>1273</v>
      </c>
      <c r="F165" s="377">
        <v>1919643.31</v>
      </c>
      <c r="G165" s="378">
        <v>25</v>
      </c>
      <c r="H165" s="371">
        <v>2029406.77</v>
      </c>
      <c r="I165" s="370">
        <v>25</v>
      </c>
      <c r="J165" s="372">
        <v>1462566.23</v>
      </c>
      <c r="K165" s="373">
        <v>25</v>
      </c>
      <c r="L165" s="374">
        <v>1465115.27</v>
      </c>
      <c r="M165" s="372">
        <v>25</v>
      </c>
      <c r="N165" s="372">
        <v>1360354.7999999998</v>
      </c>
      <c r="O165" s="372">
        <v>1197588.44</v>
      </c>
      <c r="P165" s="369">
        <v>814532.08</v>
      </c>
      <c r="Q165" s="369">
        <v>559288.51000000024</v>
      </c>
    </row>
    <row r="166" spans="1:17" ht="12" customHeight="1">
      <c r="A166" s="93"/>
      <c r="B166" s="362" t="s">
        <v>518</v>
      </c>
      <c r="C166" s="363" t="s">
        <v>1272</v>
      </c>
      <c r="D166" s="363" t="s">
        <v>116</v>
      </c>
      <c r="E166" s="364" t="s">
        <v>1273</v>
      </c>
      <c r="F166" s="365">
        <v>12893351.559999999</v>
      </c>
      <c r="G166" s="364">
        <v>85</v>
      </c>
      <c r="H166" s="365">
        <v>13495112.15</v>
      </c>
      <c r="I166" s="364">
        <v>85</v>
      </c>
      <c r="J166" s="366">
        <v>13086775.879999999</v>
      </c>
      <c r="K166" s="367">
        <v>85</v>
      </c>
      <c r="L166" s="368">
        <v>13145525.449999999</v>
      </c>
      <c r="M166" s="366">
        <v>83</v>
      </c>
      <c r="N166" s="366">
        <v>13266714.109999999</v>
      </c>
      <c r="O166" s="366">
        <v>13380497.210000001</v>
      </c>
      <c r="P166" s="362">
        <v>14028437.199999999</v>
      </c>
      <c r="Q166" s="363">
        <v>-373362.55000000075</v>
      </c>
    </row>
    <row r="167" spans="1:17" ht="12" customHeight="1">
      <c r="A167" s="93"/>
      <c r="B167" s="369" t="s">
        <v>522</v>
      </c>
      <c r="C167" s="369" t="s">
        <v>1272</v>
      </c>
      <c r="D167" s="369" t="s">
        <v>122</v>
      </c>
      <c r="E167" s="370" t="s">
        <v>1271</v>
      </c>
      <c r="F167" s="377">
        <v>9765730.3500000015</v>
      </c>
      <c r="G167" s="378">
        <v>82</v>
      </c>
      <c r="H167" s="371">
        <v>9345372.6400000006</v>
      </c>
      <c r="I167" s="370">
        <v>82</v>
      </c>
      <c r="J167" s="372">
        <v>8926583.6799999997</v>
      </c>
      <c r="K167" s="373">
        <v>82</v>
      </c>
      <c r="L167" s="374">
        <v>9372641.9600000009</v>
      </c>
      <c r="M167" s="372">
        <v>82</v>
      </c>
      <c r="N167" s="372">
        <v>9057647.3699999992</v>
      </c>
      <c r="O167" s="372">
        <v>8379041.3399999999</v>
      </c>
      <c r="P167" s="369">
        <v>8784047.6500000004</v>
      </c>
      <c r="Q167" s="369">
        <v>708082.98000000231</v>
      </c>
    </row>
    <row r="168" spans="1:17" ht="12" customHeight="1">
      <c r="A168" s="93"/>
      <c r="B168" s="362" t="s">
        <v>524</v>
      </c>
      <c r="C168" s="363" t="s">
        <v>1272</v>
      </c>
      <c r="D168" s="363" t="s">
        <v>137</v>
      </c>
      <c r="E168" s="364" t="s">
        <v>1271</v>
      </c>
      <c r="F168" s="365">
        <v>1402897.01</v>
      </c>
      <c r="G168" s="364">
        <v>30</v>
      </c>
      <c r="H168" s="365">
        <v>1231186.8399999999</v>
      </c>
      <c r="I168" s="364">
        <v>30</v>
      </c>
      <c r="J168" s="366">
        <v>1055393.9300000002</v>
      </c>
      <c r="K168" s="367">
        <v>30</v>
      </c>
      <c r="L168" s="368">
        <v>832558.62</v>
      </c>
      <c r="M168" s="366">
        <v>30</v>
      </c>
      <c r="N168" s="366">
        <v>1118835.1299999999</v>
      </c>
      <c r="O168" s="366">
        <v>1020425.38</v>
      </c>
      <c r="P168" s="362">
        <v>1055567.23</v>
      </c>
      <c r="Q168" s="363">
        <v>284061.88000000012</v>
      </c>
    </row>
    <row r="169" spans="1:17" ht="12" customHeight="1">
      <c r="A169" s="93"/>
      <c r="B169" s="369" t="s">
        <v>526</v>
      </c>
      <c r="C169" s="369" t="s">
        <v>1272</v>
      </c>
      <c r="D169" s="369" t="s">
        <v>120</v>
      </c>
      <c r="E169" s="370" t="s">
        <v>1271</v>
      </c>
      <c r="F169" s="377">
        <v>682342.40000000002</v>
      </c>
      <c r="G169" s="378">
        <v>30</v>
      </c>
      <c r="H169" s="371">
        <v>570307.29</v>
      </c>
      <c r="I169" s="370">
        <v>30</v>
      </c>
      <c r="J169" s="372">
        <v>531238.14</v>
      </c>
      <c r="K169" s="373">
        <v>30</v>
      </c>
      <c r="L169" s="374">
        <v>462897.6</v>
      </c>
      <c r="M169" s="372">
        <v>30</v>
      </c>
      <c r="N169" s="372">
        <v>509724.38</v>
      </c>
      <c r="O169" s="372">
        <v>999964.59</v>
      </c>
      <c r="P169" s="369">
        <v>1207318.43</v>
      </c>
      <c r="Q169" s="369">
        <v>172618.02000000002</v>
      </c>
    </row>
    <row r="170" spans="1:17" ht="12" customHeight="1">
      <c r="A170" s="93"/>
      <c r="B170" s="362" t="s">
        <v>528</v>
      </c>
      <c r="C170" s="363" t="s">
        <v>1274</v>
      </c>
      <c r="D170" s="363" t="s">
        <v>129</v>
      </c>
      <c r="E170" s="364" t="s">
        <v>1273</v>
      </c>
      <c r="F170" s="365">
        <v>1680794.33</v>
      </c>
      <c r="G170" s="364">
        <v>27</v>
      </c>
      <c r="H170" s="365">
        <v>1352921.8900000001</v>
      </c>
      <c r="I170" s="364">
        <v>27</v>
      </c>
      <c r="J170" s="366">
        <v>1126832.48</v>
      </c>
      <c r="K170" s="367">
        <v>27</v>
      </c>
      <c r="L170" s="368">
        <v>1166611.29</v>
      </c>
      <c r="M170" s="366">
        <v>27</v>
      </c>
      <c r="N170" s="366">
        <v>1033780.56</v>
      </c>
      <c r="O170" s="366">
        <v>0</v>
      </c>
      <c r="P170" s="362">
        <v>0</v>
      </c>
      <c r="Q170" s="363">
        <v>647013.77</v>
      </c>
    </row>
    <row r="171" spans="1:17" ht="12" customHeight="1">
      <c r="A171" s="93"/>
      <c r="B171" s="369" t="s">
        <v>530</v>
      </c>
      <c r="C171" s="369" t="s">
        <v>1274</v>
      </c>
      <c r="D171" s="369" t="s">
        <v>129</v>
      </c>
      <c r="E171" s="370" t="s">
        <v>1273</v>
      </c>
      <c r="F171" s="377">
        <v>6209142.0500000007</v>
      </c>
      <c r="G171" s="378">
        <v>50</v>
      </c>
      <c r="H171" s="371">
        <v>6064313.7599999998</v>
      </c>
      <c r="I171" s="370">
        <v>50</v>
      </c>
      <c r="J171" s="372">
        <v>6038622.5099999998</v>
      </c>
      <c r="K171" s="373">
        <v>50</v>
      </c>
      <c r="L171" s="374">
        <v>6215020.4199999999</v>
      </c>
      <c r="M171" s="372">
        <v>50</v>
      </c>
      <c r="N171" s="372">
        <v>6009689.3099999996</v>
      </c>
      <c r="O171" s="372">
        <v>6383220.2300000004</v>
      </c>
      <c r="P171" s="369">
        <v>6418008.5</v>
      </c>
      <c r="Q171" s="369">
        <v>199452.74000000115</v>
      </c>
    </row>
    <row r="172" spans="1:17" ht="12" customHeight="1">
      <c r="A172" s="93"/>
      <c r="B172" s="362" t="s">
        <v>532</v>
      </c>
      <c r="C172" s="363" t="s">
        <v>1274</v>
      </c>
      <c r="D172" s="363" t="s">
        <v>129</v>
      </c>
      <c r="E172" s="364" t="s">
        <v>1271</v>
      </c>
      <c r="F172" s="365">
        <v>8707549.0199999996</v>
      </c>
      <c r="G172" s="364">
        <v>105</v>
      </c>
      <c r="H172" s="365">
        <v>9102698.870000001</v>
      </c>
      <c r="I172" s="364">
        <v>105</v>
      </c>
      <c r="J172" s="366">
        <v>9322184.2199999988</v>
      </c>
      <c r="K172" s="367">
        <v>105</v>
      </c>
      <c r="L172" s="368">
        <v>9130249.1500000004</v>
      </c>
      <c r="M172" s="366">
        <v>105</v>
      </c>
      <c r="N172" s="366">
        <v>8964671.9699999988</v>
      </c>
      <c r="O172" s="366">
        <v>8938224.3999999985</v>
      </c>
      <c r="P172" s="362">
        <v>8970885.6999999993</v>
      </c>
      <c r="Q172" s="363">
        <v>-257122.94999999925</v>
      </c>
    </row>
    <row r="173" spans="1:17" ht="12" customHeight="1">
      <c r="A173" s="93"/>
      <c r="B173" s="369" t="s">
        <v>536</v>
      </c>
      <c r="C173" s="369" t="s">
        <v>1274</v>
      </c>
      <c r="D173" s="369" t="s">
        <v>129</v>
      </c>
      <c r="E173" s="370" t="s">
        <v>1271</v>
      </c>
      <c r="F173" s="377">
        <v>3771669.54</v>
      </c>
      <c r="G173" s="378">
        <v>42</v>
      </c>
      <c r="H173" s="371">
        <v>3369916.12</v>
      </c>
      <c r="I173" s="370">
        <v>42</v>
      </c>
      <c r="J173" s="372">
        <v>3461010.51</v>
      </c>
      <c r="K173" s="373">
        <v>42</v>
      </c>
      <c r="L173" s="374">
        <v>3655220.6399999997</v>
      </c>
      <c r="M173" s="372">
        <v>42</v>
      </c>
      <c r="N173" s="372">
        <v>3236912.41</v>
      </c>
      <c r="O173" s="372">
        <v>2919144.1399999997</v>
      </c>
      <c r="P173" s="369">
        <v>2545058.7200000002</v>
      </c>
      <c r="Q173" s="369">
        <v>534757.12999999989</v>
      </c>
    </row>
    <row r="174" spans="1:17" ht="12" customHeight="1">
      <c r="A174" s="93"/>
      <c r="B174" s="362" t="s">
        <v>538</v>
      </c>
      <c r="C174" s="363" t="s">
        <v>1274</v>
      </c>
      <c r="D174" s="363" t="s">
        <v>105</v>
      </c>
      <c r="E174" s="364" t="s">
        <v>1273</v>
      </c>
      <c r="F174" s="365">
        <v>1486720.93</v>
      </c>
      <c r="G174" s="364">
        <v>28</v>
      </c>
      <c r="H174" s="365">
        <v>1310824.71</v>
      </c>
      <c r="I174" s="364">
        <v>28</v>
      </c>
      <c r="J174" s="366">
        <v>1247608.51</v>
      </c>
      <c r="K174" s="367">
        <v>28</v>
      </c>
      <c r="L174" s="368">
        <v>1074656.3399999999</v>
      </c>
      <c r="M174" s="366">
        <v>28</v>
      </c>
      <c r="N174" s="366">
        <v>1256123.17</v>
      </c>
      <c r="O174" s="366">
        <v>1226851.9700000002</v>
      </c>
      <c r="P174" s="362">
        <v>1492966.71</v>
      </c>
      <c r="Q174" s="363">
        <v>230597.76000000001</v>
      </c>
    </row>
    <row r="175" spans="1:17" ht="12" customHeight="1">
      <c r="A175" s="93"/>
      <c r="B175" s="369" t="s">
        <v>540</v>
      </c>
      <c r="C175" s="369" t="s">
        <v>1272</v>
      </c>
      <c r="D175" s="369" t="s">
        <v>135</v>
      </c>
      <c r="E175" s="370" t="s">
        <v>1273</v>
      </c>
      <c r="F175" s="377">
        <v>17690307.41</v>
      </c>
      <c r="G175" s="378">
        <v>86</v>
      </c>
      <c r="H175" s="371">
        <v>17671772.129999999</v>
      </c>
      <c r="I175" s="370">
        <v>86</v>
      </c>
      <c r="J175" s="372">
        <v>18335002.939999998</v>
      </c>
      <c r="K175" s="373">
        <v>86</v>
      </c>
      <c r="L175" s="374">
        <v>19004720.560000002</v>
      </c>
      <c r="M175" s="372">
        <v>86</v>
      </c>
      <c r="N175" s="372">
        <v>18744701.91</v>
      </c>
      <c r="O175" s="372">
        <v>18931308.93</v>
      </c>
      <c r="P175" s="369">
        <v>18362339.670000002</v>
      </c>
      <c r="Q175" s="369">
        <v>-1054394.5</v>
      </c>
    </row>
    <row r="176" spans="1:17" ht="12" customHeight="1">
      <c r="A176" s="93"/>
      <c r="B176" s="362" t="s">
        <v>542</v>
      </c>
      <c r="C176" s="363" t="s">
        <v>1272</v>
      </c>
      <c r="D176" s="363" t="s">
        <v>112</v>
      </c>
      <c r="E176" s="364" t="s">
        <v>1273</v>
      </c>
      <c r="F176" s="365">
        <v>8359952.8499999996</v>
      </c>
      <c r="G176" s="364">
        <v>50</v>
      </c>
      <c r="H176" s="365">
        <v>8583863.1699999999</v>
      </c>
      <c r="I176" s="364">
        <v>50</v>
      </c>
      <c r="J176" s="366">
        <v>7760119.54</v>
      </c>
      <c r="K176" s="367">
        <v>50</v>
      </c>
      <c r="L176" s="368">
        <v>8436833.7799999993</v>
      </c>
      <c r="M176" s="366">
        <v>50</v>
      </c>
      <c r="N176" s="366">
        <v>7607518.2800000003</v>
      </c>
      <c r="O176" s="366">
        <v>7477045.1799999997</v>
      </c>
      <c r="P176" s="362">
        <v>8057516.1200000001</v>
      </c>
      <c r="Q176" s="363">
        <v>752434.56999999937</v>
      </c>
    </row>
    <row r="177" spans="1:17" ht="12" customHeight="1">
      <c r="A177" s="93"/>
      <c r="B177" s="369" t="s">
        <v>544</v>
      </c>
      <c r="C177" s="369" t="s">
        <v>1272</v>
      </c>
      <c r="D177" s="369" t="s">
        <v>154</v>
      </c>
      <c r="E177" s="370" t="s">
        <v>1271</v>
      </c>
      <c r="F177" s="377">
        <v>5393552.3300000001</v>
      </c>
      <c r="G177" s="378">
        <v>40</v>
      </c>
      <c r="H177" s="371">
        <v>4787023.17</v>
      </c>
      <c r="I177" s="370">
        <v>50</v>
      </c>
      <c r="J177" s="372">
        <v>4240050.96</v>
      </c>
      <c r="K177" s="373">
        <v>44</v>
      </c>
      <c r="L177" s="374">
        <v>4103959.47</v>
      </c>
      <c r="M177" s="372">
        <v>40</v>
      </c>
      <c r="N177" s="372">
        <v>3905479.77</v>
      </c>
      <c r="O177" s="372">
        <v>3849453.42</v>
      </c>
      <c r="P177" s="369">
        <v>3836202.94</v>
      </c>
      <c r="Q177" s="369">
        <v>1488072.56</v>
      </c>
    </row>
    <row r="178" spans="1:17" ht="12" customHeight="1">
      <c r="A178" s="93"/>
      <c r="B178" s="362" t="s">
        <v>546</v>
      </c>
      <c r="C178" s="363" t="s">
        <v>1272</v>
      </c>
      <c r="D178" s="363" t="s">
        <v>147</v>
      </c>
      <c r="E178" s="364" t="s">
        <v>1273</v>
      </c>
      <c r="F178" s="365">
        <v>9497701.6499999985</v>
      </c>
      <c r="G178" s="364">
        <v>45</v>
      </c>
      <c r="H178" s="365">
        <v>9515835.8399999999</v>
      </c>
      <c r="I178" s="364">
        <v>45</v>
      </c>
      <c r="J178" s="366">
        <v>9095213.2199999988</v>
      </c>
      <c r="K178" s="367">
        <v>45</v>
      </c>
      <c r="L178" s="368">
        <v>9209756.4399999995</v>
      </c>
      <c r="M178" s="366">
        <v>45</v>
      </c>
      <c r="N178" s="366">
        <v>7980914.8200000003</v>
      </c>
      <c r="O178" s="366">
        <v>8185283.0800000001</v>
      </c>
      <c r="P178" s="362">
        <v>8084725.7899999991</v>
      </c>
      <c r="Q178" s="363">
        <v>1516786.8299999982</v>
      </c>
    </row>
    <row r="179" spans="1:17" ht="12" customHeight="1">
      <c r="A179" s="93"/>
      <c r="B179" s="369" t="s">
        <v>550</v>
      </c>
      <c r="C179" s="369" t="s">
        <v>1272</v>
      </c>
      <c r="D179" s="369" t="s">
        <v>146</v>
      </c>
      <c r="E179" s="370" t="s">
        <v>1273</v>
      </c>
      <c r="F179" s="377">
        <v>8703819.5399999991</v>
      </c>
      <c r="G179" s="378">
        <v>60</v>
      </c>
      <c r="H179" s="371">
        <v>8867588.75</v>
      </c>
      <c r="I179" s="370">
        <v>60</v>
      </c>
      <c r="J179" s="372">
        <v>9030488.3099999987</v>
      </c>
      <c r="K179" s="373">
        <v>60</v>
      </c>
      <c r="L179" s="374">
        <v>8911058.6499999985</v>
      </c>
      <c r="M179" s="372">
        <v>60</v>
      </c>
      <c r="N179" s="372">
        <v>8733660.3100000005</v>
      </c>
      <c r="O179" s="372">
        <v>8197387.6099999994</v>
      </c>
      <c r="P179" s="369">
        <v>8098142.4100000001</v>
      </c>
      <c r="Q179" s="369">
        <v>-29840.770000001416</v>
      </c>
    </row>
    <row r="180" spans="1:17" ht="12" customHeight="1">
      <c r="A180" s="93"/>
      <c r="B180" s="362" t="s">
        <v>552</v>
      </c>
      <c r="C180" s="363" t="s">
        <v>1274</v>
      </c>
      <c r="D180" s="363" t="s">
        <v>105</v>
      </c>
      <c r="E180" s="364" t="s">
        <v>1273</v>
      </c>
      <c r="F180" s="365">
        <v>1235897.8799999999</v>
      </c>
      <c r="G180" s="364">
        <v>22</v>
      </c>
      <c r="H180" s="365">
        <v>1291280.94</v>
      </c>
      <c r="I180" s="364">
        <v>22</v>
      </c>
      <c r="J180" s="366">
        <v>1317673.7599999998</v>
      </c>
      <c r="K180" s="367">
        <v>22</v>
      </c>
      <c r="L180" s="368">
        <v>1364266.1800000002</v>
      </c>
      <c r="M180" s="366">
        <v>22</v>
      </c>
      <c r="N180" s="366">
        <v>1380150.2400000002</v>
      </c>
      <c r="O180" s="366">
        <v>1277915.33</v>
      </c>
      <c r="P180" s="362">
        <v>1269361.3999999999</v>
      </c>
      <c r="Q180" s="363">
        <v>-144252.36000000034</v>
      </c>
    </row>
    <row r="181" spans="1:17" ht="12" customHeight="1">
      <c r="A181" s="93"/>
      <c r="B181" s="369" t="s">
        <v>554</v>
      </c>
      <c r="C181" s="369" t="s">
        <v>1274</v>
      </c>
      <c r="D181" s="369" t="s">
        <v>125</v>
      </c>
      <c r="E181" s="370" t="s">
        <v>1273</v>
      </c>
      <c r="F181" s="377">
        <v>1760056.87</v>
      </c>
      <c r="G181" s="378">
        <v>23</v>
      </c>
      <c r="H181" s="371">
        <v>1568805.8</v>
      </c>
      <c r="I181" s="370">
        <v>23</v>
      </c>
      <c r="J181" s="372">
        <v>1559417.49</v>
      </c>
      <c r="K181" s="373">
        <v>23</v>
      </c>
      <c r="L181" s="374">
        <v>1311374.79</v>
      </c>
      <c r="M181" s="372">
        <v>23</v>
      </c>
      <c r="N181" s="372">
        <v>1323653.82</v>
      </c>
      <c r="O181" s="372">
        <v>1331698.1400000001</v>
      </c>
      <c r="P181" s="369">
        <v>1278625.44</v>
      </c>
      <c r="Q181" s="369">
        <v>436403.05000000005</v>
      </c>
    </row>
    <row r="182" spans="1:17" ht="12" customHeight="1">
      <c r="A182" s="93"/>
      <c r="B182" s="362" t="s">
        <v>556</v>
      </c>
      <c r="C182" s="363" t="s">
        <v>1274</v>
      </c>
      <c r="D182" s="363" t="s">
        <v>130</v>
      </c>
      <c r="E182" s="364" t="s">
        <v>1273</v>
      </c>
      <c r="F182" s="365">
        <v>7030959.0700000003</v>
      </c>
      <c r="G182" s="364">
        <v>40</v>
      </c>
      <c r="H182" s="365">
        <v>6908564.2699999996</v>
      </c>
      <c r="I182" s="364">
        <v>40</v>
      </c>
      <c r="J182" s="366">
        <v>6006960.1600000001</v>
      </c>
      <c r="K182" s="367">
        <v>40</v>
      </c>
      <c r="L182" s="368">
        <v>5860821.75</v>
      </c>
      <c r="M182" s="366">
        <v>40</v>
      </c>
      <c r="N182" s="366">
        <v>5732218.2999999998</v>
      </c>
      <c r="O182" s="366">
        <v>5625987.2200000007</v>
      </c>
      <c r="P182" s="362">
        <v>5768944.6699999999</v>
      </c>
      <c r="Q182" s="363">
        <v>1298740.7700000005</v>
      </c>
    </row>
    <row r="183" spans="1:17" ht="12" customHeight="1">
      <c r="A183" s="93"/>
      <c r="B183" s="369" t="s">
        <v>558</v>
      </c>
      <c r="C183" s="369" t="s">
        <v>1274</v>
      </c>
      <c r="D183" s="369" t="s">
        <v>35</v>
      </c>
      <c r="E183" s="370" t="s">
        <v>1273</v>
      </c>
      <c r="F183" s="377">
        <v>3733210.01</v>
      </c>
      <c r="G183" s="378">
        <v>40</v>
      </c>
      <c r="H183" s="371">
        <v>3612415.26</v>
      </c>
      <c r="I183" s="370">
        <v>40</v>
      </c>
      <c r="J183" s="372">
        <v>3653016.69</v>
      </c>
      <c r="K183" s="373">
        <v>40</v>
      </c>
      <c r="L183" s="374">
        <v>3649934.74</v>
      </c>
      <c r="M183" s="372">
        <v>40</v>
      </c>
      <c r="N183" s="372">
        <v>3845612.1799999997</v>
      </c>
      <c r="O183" s="372">
        <v>3815429.67</v>
      </c>
      <c r="P183" s="369">
        <v>4256394.1500000004</v>
      </c>
      <c r="Q183" s="369">
        <v>-112402.16999999993</v>
      </c>
    </row>
    <row r="184" spans="1:17" ht="12" customHeight="1">
      <c r="A184" s="93"/>
      <c r="B184" s="362" t="s">
        <v>560</v>
      </c>
      <c r="C184" s="363" t="s">
        <v>1272</v>
      </c>
      <c r="D184" s="363" t="s">
        <v>122</v>
      </c>
      <c r="E184" s="364" t="s">
        <v>1273</v>
      </c>
      <c r="F184" s="365">
        <v>6464740.4500000002</v>
      </c>
      <c r="G184" s="364">
        <v>64</v>
      </c>
      <c r="H184" s="365">
        <v>6771501.3700000001</v>
      </c>
      <c r="I184" s="364">
        <v>64</v>
      </c>
      <c r="J184" s="366">
        <v>6117566.5099999998</v>
      </c>
      <c r="K184" s="367">
        <v>64</v>
      </c>
      <c r="L184" s="368">
        <v>5985829.0600000005</v>
      </c>
      <c r="M184" s="366">
        <v>64</v>
      </c>
      <c r="N184" s="366">
        <v>5855702.04</v>
      </c>
      <c r="O184" s="366">
        <v>5645775.0099999998</v>
      </c>
      <c r="P184" s="362">
        <v>5714439.5</v>
      </c>
      <c r="Q184" s="363">
        <v>609038.41000000015</v>
      </c>
    </row>
    <row r="185" spans="1:17" ht="12" customHeight="1">
      <c r="A185" s="93"/>
      <c r="B185" s="369" t="s">
        <v>562</v>
      </c>
      <c r="C185" s="369" t="s">
        <v>1272</v>
      </c>
      <c r="D185" s="369" t="s">
        <v>155</v>
      </c>
      <c r="E185" s="370" t="s">
        <v>1273</v>
      </c>
      <c r="F185" s="377">
        <v>10447113.67</v>
      </c>
      <c r="G185" s="378">
        <v>70</v>
      </c>
      <c r="H185" s="371">
        <v>10920129.92</v>
      </c>
      <c r="I185" s="370">
        <v>70</v>
      </c>
      <c r="J185" s="372">
        <v>11006687.300000001</v>
      </c>
      <c r="K185" s="373">
        <v>70</v>
      </c>
      <c r="L185" s="374">
        <v>10951160.41</v>
      </c>
      <c r="M185" s="372">
        <v>70</v>
      </c>
      <c r="N185" s="372">
        <v>11092742.960000001</v>
      </c>
      <c r="O185" s="372">
        <v>10979290.27</v>
      </c>
      <c r="P185" s="369">
        <v>11193261.350000001</v>
      </c>
      <c r="Q185" s="369">
        <v>-645629.29000000097</v>
      </c>
    </row>
    <row r="186" spans="1:17" ht="12" customHeight="1">
      <c r="A186" s="93"/>
      <c r="B186" s="362" t="s">
        <v>564</v>
      </c>
      <c r="C186" s="363" t="s">
        <v>1274</v>
      </c>
      <c r="D186" s="363" t="s">
        <v>139</v>
      </c>
      <c r="E186" s="364" t="s">
        <v>1273</v>
      </c>
      <c r="F186" s="365">
        <v>5514642.8300000001</v>
      </c>
      <c r="G186" s="364">
        <v>34</v>
      </c>
      <c r="H186" s="365">
        <v>5987449.5800000001</v>
      </c>
      <c r="I186" s="364">
        <v>34</v>
      </c>
      <c r="J186" s="366">
        <v>5432725.1699999999</v>
      </c>
      <c r="K186" s="367">
        <v>34</v>
      </c>
      <c r="L186" s="368">
        <v>5940607.8300000001</v>
      </c>
      <c r="M186" s="366">
        <v>34</v>
      </c>
      <c r="N186" s="366">
        <v>5704596.8699999992</v>
      </c>
      <c r="O186" s="366">
        <v>5632612.5499999998</v>
      </c>
      <c r="P186" s="362">
        <v>5396256.6699999999</v>
      </c>
      <c r="Q186" s="363">
        <v>-189954.03999999911</v>
      </c>
    </row>
    <row r="187" spans="1:17" ht="12" customHeight="1">
      <c r="A187" s="93"/>
      <c r="B187" s="369" t="s">
        <v>1417</v>
      </c>
      <c r="C187" s="369" t="s">
        <v>1274</v>
      </c>
      <c r="D187" s="369" t="s">
        <v>148</v>
      </c>
      <c r="E187" s="370" t="s">
        <v>1273</v>
      </c>
      <c r="F187" s="377">
        <v>1215526.48</v>
      </c>
      <c r="G187" s="378">
        <v>15</v>
      </c>
      <c r="H187" s="371">
        <v>1084370.1499999999</v>
      </c>
      <c r="I187" s="370">
        <v>15</v>
      </c>
      <c r="J187" s="372">
        <v>453481.27</v>
      </c>
      <c r="K187" s="373">
        <v>19</v>
      </c>
      <c r="L187" s="374"/>
      <c r="M187" s="372"/>
      <c r="N187" s="372"/>
      <c r="O187" s="372"/>
      <c r="P187" s="369"/>
      <c r="Q187" s="369">
        <v>1215526.48</v>
      </c>
    </row>
    <row r="188" spans="1:17" ht="12" customHeight="1">
      <c r="A188" s="93"/>
      <c r="B188" s="362" t="s">
        <v>566</v>
      </c>
      <c r="C188" s="363" t="s">
        <v>1274</v>
      </c>
      <c r="D188" s="363" t="s">
        <v>121</v>
      </c>
      <c r="E188" s="364" t="s">
        <v>1273</v>
      </c>
      <c r="F188" s="365">
        <v>2257533.08</v>
      </c>
      <c r="G188" s="364">
        <v>24</v>
      </c>
      <c r="H188" s="365">
        <v>1814877.65</v>
      </c>
      <c r="I188" s="364">
        <v>24</v>
      </c>
      <c r="J188" s="366">
        <v>1862505.5</v>
      </c>
      <c r="K188" s="367">
        <v>24</v>
      </c>
      <c r="L188" s="368">
        <v>1810482.81</v>
      </c>
      <c r="M188" s="366">
        <v>24</v>
      </c>
      <c r="N188" s="366">
        <v>1810634.3199999998</v>
      </c>
      <c r="O188" s="366">
        <v>1860162.05</v>
      </c>
      <c r="P188" s="362">
        <v>1510910.39</v>
      </c>
      <c r="Q188" s="363">
        <v>446898.76000000024</v>
      </c>
    </row>
    <row r="189" spans="1:17" ht="12" customHeight="1">
      <c r="A189" s="93"/>
      <c r="B189" s="369" t="s">
        <v>568</v>
      </c>
      <c r="C189" s="369" t="s">
        <v>1274</v>
      </c>
      <c r="D189" s="369" t="s">
        <v>129</v>
      </c>
      <c r="E189" s="370" t="s">
        <v>1273</v>
      </c>
      <c r="F189" s="377">
        <v>4495838.8900000006</v>
      </c>
      <c r="G189" s="378">
        <v>36</v>
      </c>
      <c r="H189" s="371">
        <v>4826986.99</v>
      </c>
      <c r="I189" s="370">
        <v>36</v>
      </c>
      <c r="J189" s="372">
        <v>4920685.13</v>
      </c>
      <c r="K189" s="373">
        <v>36</v>
      </c>
      <c r="L189" s="374">
        <v>4158639.59</v>
      </c>
      <c r="M189" s="372">
        <v>36</v>
      </c>
      <c r="N189" s="372">
        <v>4343615.8599999994</v>
      </c>
      <c r="O189" s="372">
        <v>4252039.8499999996</v>
      </c>
      <c r="P189" s="369">
        <v>4494132.4800000004</v>
      </c>
      <c r="Q189" s="369">
        <v>152223.03000000119</v>
      </c>
    </row>
    <row r="190" spans="1:17" ht="12" customHeight="1">
      <c r="A190" s="93"/>
      <c r="B190" s="362" t="s">
        <v>570</v>
      </c>
      <c r="C190" s="363" t="s">
        <v>1272</v>
      </c>
      <c r="D190" s="363" t="s">
        <v>112</v>
      </c>
      <c r="E190" s="364" t="s">
        <v>1271</v>
      </c>
      <c r="F190" s="365">
        <v>6234257.5</v>
      </c>
      <c r="G190" s="364">
        <v>70</v>
      </c>
      <c r="H190" s="365">
        <v>5753061.9100000001</v>
      </c>
      <c r="I190" s="364">
        <v>70</v>
      </c>
      <c r="J190" s="366">
        <v>5470850.4199999999</v>
      </c>
      <c r="K190" s="367">
        <v>70</v>
      </c>
      <c r="L190" s="368">
        <v>5964066.6299999999</v>
      </c>
      <c r="M190" s="366">
        <v>69</v>
      </c>
      <c r="N190" s="366">
        <v>5265483.8600000003</v>
      </c>
      <c r="O190" s="366">
        <v>4915313.4700000007</v>
      </c>
      <c r="P190" s="362">
        <v>5490990</v>
      </c>
      <c r="Q190" s="363">
        <v>968773.63999999966</v>
      </c>
    </row>
    <row r="191" spans="1:17" ht="12" customHeight="1">
      <c r="A191" s="93"/>
      <c r="B191" s="369" t="s">
        <v>572</v>
      </c>
      <c r="C191" s="369" t="s">
        <v>1272</v>
      </c>
      <c r="D191" s="369" t="s">
        <v>106</v>
      </c>
      <c r="E191" s="370" t="s">
        <v>1273</v>
      </c>
      <c r="F191" s="377">
        <v>3153075.12</v>
      </c>
      <c r="G191" s="378">
        <v>30</v>
      </c>
      <c r="H191" s="371">
        <v>3031992.45</v>
      </c>
      <c r="I191" s="370">
        <v>30</v>
      </c>
      <c r="J191" s="372">
        <v>3125578.03</v>
      </c>
      <c r="K191" s="373">
        <v>30</v>
      </c>
      <c r="L191" s="374">
        <v>3406426.17</v>
      </c>
      <c r="M191" s="372">
        <v>30</v>
      </c>
      <c r="N191" s="372">
        <v>3107281.6399999997</v>
      </c>
      <c r="O191" s="372">
        <v>2996175.27</v>
      </c>
      <c r="P191" s="369">
        <v>2742905.29</v>
      </c>
      <c r="Q191" s="369">
        <v>45793.480000000447</v>
      </c>
    </row>
    <row r="192" spans="1:17" ht="12" customHeight="1">
      <c r="A192" s="93"/>
      <c r="B192" s="362" t="s">
        <v>574</v>
      </c>
      <c r="C192" s="363" t="s">
        <v>1272</v>
      </c>
      <c r="D192" s="363" t="s">
        <v>106</v>
      </c>
      <c r="E192" s="364" t="s">
        <v>1271</v>
      </c>
      <c r="F192" s="365">
        <v>5457280.9499999993</v>
      </c>
      <c r="G192" s="364">
        <v>78</v>
      </c>
      <c r="H192" s="365">
        <v>5092092.2799999993</v>
      </c>
      <c r="I192" s="364">
        <v>78</v>
      </c>
      <c r="J192" s="366">
        <v>4312241.43</v>
      </c>
      <c r="K192" s="367">
        <v>78</v>
      </c>
      <c r="L192" s="368">
        <v>4699059.54</v>
      </c>
      <c r="M192" s="366">
        <v>77</v>
      </c>
      <c r="N192" s="366">
        <v>4410624.5999999996</v>
      </c>
      <c r="O192" s="366">
        <v>4441673.3900000006</v>
      </c>
      <c r="P192" s="362">
        <v>4581180.0199999996</v>
      </c>
      <c r="Q192" s="363">
        <v>1046656.3499999996</v>
      </c>
    </row>
    <row r="193" spans="1:17" ht="12" customHeight="1">
      <c r="A193" s="93"/>
      <c r="B193" s="369" t="s">
        <v>576</v>
      </c>
      <c r="C193" s="369" t="s">
        <v>1272</v>
      </c>
      <c r="D193" s="369" t="s">
        <v>128</v>
      </c>
      <c r="E193" s="370" t="s">
        <v>1271</v>
      </c>
      <c r="F193" s="377">
        <v>14136688.109999999</v>
      </c>
      <c r="G193" s="378">
        <v>93</v>
      </c>
      <c r="H193" s="371">
        <v>14254206.039999999</v>
      </c>
      <c r="I193" s="370">
        <v>93</v>
      </c>
      <c r="J193" s="372">
        <v>13516999.01</v>
      </c>
      <c r="K193" s="373">
        <v>93</v>
      </c>
      <c r="L193" s="374">
        <v>14163064.52</v>
      </c>
      <c r="M193" s="372">
        <v>93</v>
      </c>
      <c r="N193" s="372">
        <v>13794925.68</v>
      </c>
      <c r="O193" s="372">
        <v>12492820.879999999</v>
      </c>
      <c r="P193" s="369">
        <v>12976113.440000001</v>
      </c>
      <c r="Q193" s="369">
        <v>341762.4299999997</v>
      </c>
    </row>
    <row r="194" spans="1:17" ht="12" customHeight="1">
      <c r="A194" s="93"/>
      <c r="B194" s="362" t="s">
        <v>578</v>
      </c>
      <c r="C194" s="363" t="s">
        <v>1272</v>
      </c>
      <c r="D194" s="363" t="s">
        <v>161</v>
      </c>
      <c r="E194" s="364" t="s">
        <v>1273</v>
      </c>
      <c r="F194" s="365">
        <v>781355.33000000007</v>
      </c>
      <c r="G194" s="364">
        <v>22</v>
      </c>
      <c r="H194" s="365">
        <v>829224.74</v>
      </c>
      <c r="I194" s="364">
        <v>22</v>
      </c>
      <c r="J194" s="366">
        <v>881097.81</v>
      </c>
      <c r="K194" s="367">
        <v>22</v>
      </c>
      <c r="L194" s="368">
        <v>822070.3</v>
      </c>
      <c r="M194" s="366">
        <v>22</v>
      </c>
      <c r="N194" s="366">
        <v>698271.55</v>
      </c>
      <c r="O194" s="366">
        <v>546544.19999999995</v>
      </c>
      <c r="P194" s="362">
        <v>574818.81999999995</v>
      </c>
      <c r="Q194" s="363">
        <v>83083.780000000028</v>
      </c>
    </row>
    <row r="195" spans="1:17" ht="12" customHeight="1">
      <c r="A195" s="93"/>
      <c r="B195" s="369" t="s">
        <v>580</v>
      </c>
      <c r="C195" s="369" t="s">
        <v>1274</v>
      </c>
      <c r="D195" s="369" t="s">
        <v>129</v>
      </c>
      <c r="E195" s="370" t="s">
        <v>1273</v>
      </c>
      <c r="F195" s="377">
        <v>11527443.190000001</v>
      </c>
      <c r="G195" s="378">
        <v>80</v>
      </c>
      <c r="H195" s="371">
        <v>11625578.689999999</v>
      </c>
      <c r="I195" s="370">
        <v>80</v>
      </c>
      <c r="J195" s="372">
        <v>11110324.99</v>
      </c>
      <c r="K195" s="373">
        <v>80</v>
      </c>
      <c r="L195" s="374">
        <v>10882465.030000001</v>
      </c>
      <c r="M195" s="372">
        <v>80</v>
      </c>
      <c r="N195" s="372">
        <v>11224586.65</v>
      </c>
      <c r="O195" s="372">
        <v>11118529.26</v>
      </c>
      <c r="P195" s="369">
        <v>10603627.76</v>
      </c>
      <c r="Q195" s="369">
        <v>302856.54000000097</v>
      </c>
    </row>
    <row r="196" spans="1:17" ht="12" customHeight="1">
      <c r="A196" s="93"/>
      <c r="B196" s="362" t="s">
        <v>582</v>
      </c>
      <c r="C196" s="363" t="s">
        <v>1272</v>
      </c>
      <c r="D196" s="363" t="s">
        <v>116</v>
      </c>
      <c r="E196" s="364" t="s">
        <v>1273</v>
      </c>
      <c r="F196" s="365">
        <v>12437609.07</v>
      </c>
      <c r="G196" s="364">
        <v>80</v>
      </c>
      <c r="H196" s="365">
        <v>13059255.67</v>
      </c>
      <c r="I196" s="364">
        <v>80</v>
      </c>
      <c r="J196" s="366">
        <v>13320300.73</v>
      </c>
      <c r="K196" s="367">
        <v>80</v>
      </c>
      <c r="L196" s="368">
        <v>13826067.99</v>
      </c>
      <c r="M196" s="366">
        <v>80</v>
      </c>
      <c r="N196" s="366">
        <v>13010488.780000001</v>
      </c>
      <c r="O196" s="366">
        <v>12365151.75</v>
      </c>
      <c r="P196" s="362">
        <v>12354326.460000001</v>
      </c>
      <c r="Q196" s="363">
        <v>-572879.71000000089</v>
      </c>
    </row>
    <row r="197" spans="1:17" ht="12" customHeight="1">
      <c r="A197" s="93"/>
      <c r="B197" s="369" t="s">
        <v>584</v>
      </c>
      <c r="C197" s="369" t="s">
        <v>1272</v>
      </c>
      <c r="D197" s="369" t="s">
        <v>109</v>
      </c>
      <c r="E197" s="370" t="s">
        <v>1271</v>
      </c>
      <c r="F197" s="377">
        <v>833947.23</v>
      </c>
      <c r="G197" s="378">
        <v>30</v>
      </c>
      <c r="H197" s="371">
        <v>755087.35</v>
      </c>
      <c r="I197" s="370">
        <v>30</v>
      </c>
      <c r="J197" s="372">
        <v>945594.31</v>
      </c>
      <c r="K197" s="373">
        <v>30</v>
      </c>
      <c r="L197" s="374">
        <v>815901.38</v>
      </c>
      <c r="M197" s="372">
        <v>30</v>
      </c>
      <c r="N197" s="372">
        <v>989008.93</v>
      </c>
      <c r="O197" s="372">
        <v>974022.1</v>
      </c>
      <c r="P197" s="369">
        <v>1028339.39</v>
      </c>
      <c r="Q197" s="369">
        <v>-155061.70000000007</v>
      </c>
    </row>
    <row r="198" spans="1:17" ht="12" customHeight="1">
      <c r="A198" s="93"/>
      <c r="B198" s="362" t="s">
        <v>586</v>
      </c>
      <c r="C198" s="363" t="s">
        <v>1272</v>
      </c>
      <c r="D198" s="363" t="s">
        <v>116</v>
      </c>
      <c r="E198" s="364" t="s">
        <v>1273</v>
      </c>
      <c r="F198" s="365">
        <v>13992701.66</v>
      </c>
      <c r="G198" s="364">
        <v>73</v>
      </c>
      <c r="H198" s="365">
        <v>12705744.129999999</v>
      </c>
      <c r="I198" s="364">
        <v>73</v>
      </c>
      <c r="J198" s="366">
        <v>12013201.509999998</v>
      </c>
      <c r="K198" s="367">
        <v>72</v>
      </c>
      <c r="L198" s="368">
        <v>11552675.460000001</v>
      </c>
      <c r="M198" s="366">
        <v>73</v>
      </c>
      <c r="N198" s="366">
        <v>10928888.02</v>
      </c>
      <c r="O198" s="366">
        <v>9909061.1099999994</v>
      </c>
      <c r="P198" s="362">
        <v>11276943.029999999</v>
      </c>
      <c r="Q198" s="363">
        <v>3063813.6400000006</v>
      </c>
    </row>
    <row r="199" spans="1:17" ht="12" customHeight="1">
      <c r="A199" s="93"/>
      <c r="B199" s="369" t="s">
        <v>590</v>
      </c>
      <c r="C199" s="369" t="s">
        <v>1272</v>
      </c>
      <c r="D199" s="369" t="s">
        <v>111</v>
      </c>
      <c r="E199" s="370" t="s">
        <v>1273</v>
      </c>
      <c r="F199" s="377">
        <v>9053780.4699999988</v>
      </c>
      <c r="G199" s="378">
        <v>47</v>
      </c>
      <c r="H199" s="371">
        <v>8849136.2899999991</v>
      </c>
      <c r="I199" s="370">
        <v>47</v>
      </c>
      <c r="J199" s="372">
        <v>7851230.1999999993</v>
      </c>
      <c r="K199" s="373">
        <v>47</v>
      </c>
      <c r="L199" s="374">
        <v>8207176.1399999997</v>
      </c>
      <c r="M199" s="372">
        <v>47</v>
      </c>
      <c r="N199" s="372">
        <v>8056113.7199999997</v>
      </c>
      <c r="O199" s="372">
        <v>7371167.8499999996</v>
      </c>
      <c r="P199" s="369">
        <v>7552321.6399999997</v>
      </c>
      <c r="Q199" s="369">
        <v>997666.74999999907</v>
      </c>
    </row>
    <row r="200" spans="1:17" ht="12" customHeight="1">
      <c r="A200" s="93"/>
      <c r="B200" s="362" t="s">
        <v>592</v>
      </c>
      <c r="C200" s="363" t="s">
        <v>1272</v>
      </c>
      <c r="D200" s="363" t="s">
        <v>155</v>
      </c>
      <c r="E200" s="364" t="s">
        <v>1271</v>
      </c>
      <c r="F200" s="365">
        <v>3338123.26</v>
      </c>
      <c r="G200" s="364">
        <v>50</v>
      </c>
      <c r="H200" s="365">
        <v>3278637.24</v>
      </c>
      <c r="I200" s="364">
        <v>50</v>
      </c>
      <c r="J200" s="366">
        <v>3284761</v>
      </c>
      <c r="K200" s="367">
        <v>50</v>
      </c>
      <c r="L200" s="368">
        <v>3342112.8600000003</v>
      </c>
      <c r="M200" s="366">
        <v>50</v>
      </c>
      <c r="N200" s="366">
        <v>2826429.2199999997</v>
      </c>
      <c r="O200" s="366">
        <v>3090991.99</v>
      </c>
      <c r="P200" s="362">
        <v>3001872.11</v>
      </c>
      <c r="Q200" s="363">
        <v>511694.04000000004</v>
      </c>
    </row>
    <row r="201" spans="1:17" ht="12" customHeight="1">
      <c r="A201" s="93"/>
      <c r="B201" s="369" t="s">
        <v>1399</v>
      </c>
      <c r="C201" s="369" t="s">
        <v>1272</v>
      </c>
      <c r="D201" s="369" t="s">
        <v>146</v>
      </c>
      <c r="E201" s="370" t="s">
        <v>1271</v>
      </c>
      <c r="F201" s="377">
        <v>2928062.6500000004</v>
      </c>
      <c r="G201" s="378">
        <v>80</v>
      </c>
      <c r="H201" s="371">
        <v>3353502.9000000004</v>
      </c>
      <c r="I201" s="370">
        <v>80</v>
      </c>
      <c r="J201" s="372">
        <v>3203764.92</v>
      </c>
      <c r="K201" s="373">
        <v>80</v>
      </c>
      <c r="L201" s="374">
        <v>1846490.33</v>
      </c>
      <c r="M201" s="372">
        <v>80</v>
      </c>
      <c r="N201" s="372"/>
      <c r="O201" s="372"/>
      <c r="P201" s="369"/>
      <c r="Q201" s="369">
        <v>2928062.6500000004</v>
      </c>
    </row>
    <row r="202" spans="1:17" ht="12" customHeight="1">
      <c r="A202" s="93"/>
      <c r="B202" s="362" t="s">
        <v>594</v>
      </c>
      <c r="C202" s="363" t="s">
        <v>1272</v>
      </c>
      <c r="D202" s="363" t="s">
        <v>177</v>
      </c>
      <c r="E202" s="364" t="s">
        <v>1271</v>
      </c>
      <c r="F202" s="365">
        <v>2265292.83</v>
      </c>
      <c r="G202" s="364">
        <v>50</v>
      </c>
      <c r="H202" s="365">
        <v>2339182.06</v>
      </c>
      <c r="I202" s="364">
        <v>50</v>
      </c>
      <c r="J202" s="366">
        <v>2304892.94</v>
      </c>
      <c r="K202" s="367">
        <v>50</v>
      </c>
      <c r="L202" s="368">
        <v>2190113.91</v>
      </c>
      <c r="M202" s="366">
        <v>50</v>
      </c>
      <c r="N202" s="366">
        <v>2198251.67</v>
      </c>
      <c r="O202" s="366">
        <v>2505333.9699999997</v>
      </c>
      <c r="P202" s="362">
        <v>2359908.16</v>
      </c>
      <c r="Q202" s="363">
        <v>67041.160000000149</v>
      </c>
    </row>
    <row r="203" spans="1:17" ht="12" customHeight="1">
      <c r="A203" s="93"/>
      <c r="B203" s="369" t="s">
        <v>598</v>
      </c>
      <c r="C203" s="369" t="s">
        <v>1272</v>
      </c>
      <c r="D203" s="369" t="s">
        <v>137</v>
      </c>
      <c r="E203" s="370" t="s">
        <v>1271</v>
      </c>
      <c r="F203" s="377">
        <v>2428585.48</v>
      </c>
      <c r="G203" s="378">
        <v>41</v>
      </c>
      <c r="H203" s="371">
        <v>2605775.66</v>
      </c>
      <c r="I203" s="370">
        <v>41</v>
      </c>
      <c r="J203" s="372">
        <v>2561166.96</v>
      </c>
      <c r="K203" s="373">
        <v>41</v>
      </c>
      <c r="L203" s="374">
        <v>2486022.31</v>
      </c>
      <c r="M203" s="372">
        <v>41</v>
      </c>
      <c r="N203" s="372">
        <v>2208929.46</v>
      </c>
      <c r="O203" s="372">
        <v>1903375.9100000001</v>
      </c>
      <c r="P203" s="369">
        <v>1414387.27</v>
      </c>
      <c r="Q203" s="369">
        <v>219656.02000000002</v>
      </c>
    </row>
    <row r="204" spans="1:17" ht="12" customHeight="1">
      <c r="A204" s="93"/>
      <c r="B204" s="362" t="s">
        <v>600</v>
      </c>
      <c r="C204" s="363" t="s">
        <v>1272</v>
      </c>
      <c r="D204" s="363" t="s">
        <v>135</v>
      </c>
      <c r="E204" s="364" t="s">
        <v>1273</v>
      </c>
      <c r="F204" s="365">
        <v>13744227.49</v>
      </c>
      <c r="G204" s="364">
        <v>80</v>
      </c>
      <c r="H204" s="365">
        <v>10350388.98</v>
      </c>
      <c r="I204" s="364">
        <v>80</v>
      </c>
      <c r="J204" s="366">
        <v>8866659.3300000001</v>
      </c>
      <c r="K204" s="367">
        <v>60</v>
      </c>
      <c r="L204" s="368">
        <v>8162417.3900000006</v>
      </c>
      <c r="M204" s="366">
        <v>60</v>
      </c>
      <c r="N204" s="366">
        <v>7363878.8100000005</v>
      </c>
      <c r="O204" s="366">
        <v>5942731.04</v>
      </c>
      <c r="P204" s="362">
        <v>3051768.9</v>
      </c>
      <c r="Q204" s="363">
        <v>6380348.6799999997</v>
      </c>
    </row>
    <row r="205" spans="1:17" ht="12" customHeight="1">
      <c r="A205" s="93"/>
      <c r="B205" s="369" t="s">
        <v>602</v>
      </c>
      <c r="C205" s="369" t="s">
        <v>1272</v>
      </c>
      <c r="D205" s="369" t="s">
        <v>144</v>
      </c>
      <c r="E205" s="370" t="s">
        <v>1273</v>
      </c>
      <c r="F205" s="377">
        <v>6695669.8399999999</v>
      </c>
      <c r="G205" s="378">
        <v>70</v>
      </c>
      <c r="H205" s="371">
        <v>6215713.4399999995</v>
      </c>
      <c r="I205" s="370">
        <v>66</v>
      </c>
      <c r="J205" s="372">
        <v>6383815.46</v>
      </c>
      <c r="K205" s="373">
        <v>70</v>
      </c>
      <c r="L205" s="374">
        <v>6815242.9900000002</v>
      </c>
      <c r="M205" s="372">
        <v>62</v>
      </c>
      <c r="N205" s="372">
        <v>6863305.21</v>
      </c>
      <c r="O205" s="372">
        <v>6391447.3499999996</v>
      </c>
      <c r="P205" s="369">
        <v>6643793.6600000001</v>
      </c>
      <c r="Q205" s="369">
        <v>-167635.37000000011</v>
      </c>
    </row>
    <row r="206" spans="1:17" ht="12" customHeight="1">
      <c r="A206" s="93"/>
      <c r="B206" s="362" t="s">
        <v>604</v>
      </c>
      <c r="C206" s="363" t="s">
        <v>1272</v>
      </c>
      <c r="D206" s="363" t="s">
        <v>128</v>
      </c>
      <c r="E206" s="364" t="s">
        <v>1271</v>
      </c>
      <c r="F206" s="365">
        <v>15494061.91</v>
      </c>
      <c r="G206" s="364">
        <v>89</v>
      </c>
      <c r="H206" s="365">
        <v>15927986.059999999</v>
      </c>
      <c r="I206" s="364">
        <v>90</v>
      </c>
      <c r="J206" s="366">
        <v>16058520.619999999</v>
      </c>
      <c r="K206" s="367">
        <v>90</v>
      </c>
      <c r="L206" s="368">
        <v>17132399.760000002</v>
      </c>
      <c r="M206" s="366">
        <v>90</v>
      </c>
      <c r="N206" s="366">
        <v>15832483.800000001</v>
      </c>
      <c r="O206" s="366">
        <v>16554520.040000001</v>
      </c>
      <c r="P206" s="362">
        <v>16866246.98</v>
      </c>
      <c r="Q206" s="363">
        <v>-338421.8900000006</v>
      </c>
    </row>
    <row r="207" spans="1:17" ht="12" customHeight="1">
      <c r="A207" s="93"/>
      <c r="B207" s="369" t="s">
        <v>606</v>
      </c>
      <c r="C207" s="369" t="s">
        <v>1274</v>
      </c>
      <c r="D207" s="369" t="s">
        <v>130</v>
      </c>
      <c r="E207" s="370" t="s">
        <v>1271</v>
      </c>
      <c r="F207" s="377">
        <v>420257.56</v>
      </c>
      <c r="G207" s="378">
        <v>10</v>
      </c>
      <c r="H207" s="371">
        <v>364728.75</v>
      </c>
      <c r="I207" s="370">
        <v>10</v>
      </c>
      <c r="J207" s="372">
        <v>339354.1</v>
      </c>
      <c r="K207" s="373">
        <v>10</v>
      </c>
      <c r="L207" s="374">
        <v>370328.92000000004</v>
      </c>
      <c r="M207" s="372">
        <v>10</v>
      </c>
      <c r="N207" s="372">
        <v>344578.01</v>
      </c>
      <c r="O207" s="372">
        <v>391935.83999999997</v>
      </c>
      <c r="P207" s="369">
        <v>455900.45</v>
      </c>
      <c r="Q207" s="369">
        <v>75679.549999999988</v>
      </c>
    </row>
    <row r="208" spans="1:17" ht="12" customHeight="1">
      <c r="A208" s="93"/>
      <c r="B208" s="362" t="s">
        <v>608</v>
      </c>
      <c r="C208" s="363" t="s">
        <v>1274</v>
      </c>
      <c r="D208" s="363" t="s">
        <v>149</v>
      </c>
      <c r="E208" s="364" t="s">
        <v>1273</v>
      </c>
      <c r="F208" s="365">
        <v>4678180.8499999996</v>
      </c>
      <c r="G208" s="364">
        <v>45</v>
      </c>
      <c r="H208" s="365">
        <v>4798079.07</v>
      </c>
      <c r="I208" s="364">
        <v>45</v>
      </c>
      <c r="J208" s="366">
        <v>4335956.1100000003</v>
      </c>
      <c r="K208" s="367">
        <v>45</v>
      </c>
      <c r="L208" s="368">
        <v>4136386.2300000004</v>
      </c>
      <c r="M208" s="366">
        <v>45</v>
      </c>
      <c r="N208" s="366">
        <v>3516782.08</v>
      </c>
      <c r="O208" s="366">
        <v>3213171.02</v>
      </c>
      <c r="P208" s="362">
        <v>3074400.28</v>
      </c>
      <c r="Q208" s="363">
        <v>1161398.7699999996</v>
      </c>
    </row>
    <row r="209" spans="1:17" ht="12" customHeight="1">
      <c r="A209" s="93"/>
      <c r="B209" s="369" t="s">
        <v>610</v>
      </c>
      <c r="C209" s="369" t="s">
        <v>1272</v>
      </c>
      <c r="D209" s="369" t="s">
        <v>175</v>
      </c>
      <c r="E209" s="370" t="s">
        <v>1271</v>
      </c>
      <c r="F209" s="377">
        <v>6050306.5700000003</v>
      </c>
      <c r="G209" s="378">
        <v>91</v>
      </c>
      <c r="H209" s="371">
        <v>6155029.2400000002</v>
      </c>
      <c r="I209" s="370">
        <v>91</v>
      </c>
      <c r="J209" s="372">
        <v>6040574.8899999997</v>
      </c>
      <c r="K209" s="373">
        <v>91</v>
      </c>
      <c r="L209" s="374">
        <v>6526348.2300000004</v>
      </c>
      <c r="M209" s="372">
        <v>91</v>
      </c>
      <c r="N209" s="372">
        <v>6634015.4199999999</v>
      </c>
      <c r="O209" s="372">
        <v>6324503.2199999997</v>
      </c>
      <c r="P209" s="369">
        <v>7049894.25</v>
      </c>
      <c r="Q209" s="369">
        <v>-583708.84999999963</v>
      </c>
    </row>
    <row r="210" spans="1:17" ht="12" customHeight="1">
      <c r="A210" s="93"/>
      <c r="B210" s="362" t="s">
        <v>612</v>
      </c>
      <c r="C210" s="363" t="s">
        <v>1272</v>
      </c>
      <c r="D210" s="363" t="s">
        <v>175</v>
      </c>
      <c r="E210" s="364" t="s">
        <v>1271</v>
      </c>
      <c r="F210" s="365">
        <v>4731314.8499999996</v>
      </c>
      <c r="G210" s="364">
        <v>55</v>
      </c>
      <c r="H210" s="365">
        <v>4921971.29</v>
      </c>
      <c r="I210" s="364">
        <v>55</v>
      </c>
      <c r="J210" s="366">
        <v>4387518.32</v>
      </c>
      <c r="K210" s="367">
        <v>55</v>
      </c>
      <c r="L210" s="368">
        <v>3882685.1</v>
      </c>
      <c r="M210" s="366">
        <v>55</v>
      </c>
      <c r="N210" s="366">
        <v>3645371.5300000003</v>
      </c>
      <c r="O210" s="366">
        <v>3277532.5599999996</v>
      </c>
      <c r="P210" s="362">
        <v>3521312.15</v>
      </c>
      <c r="Q210" s="363">
        <v>1085943.3199999994</v>
      </c>
    </row>
    <row r="211" spans="1:17" ht="12" customHeight="1">
      <c r="A211" s="93"/>
      <c r="B211" s="369" t="s">
        <v>614</v>
      </c>
      <c r="C211" s="369" t="s">
        <v>1274</v>
      </c>
      <c r="D211" s="369" t="s">
        <v>134</v>
      </c>
      <c r="E211" s="370" t="s">
        <v>1271</v>
      </c>
      <c r="F211" s="377">
        <v>2274952.38</v>
      </c>
      <c r="G211" s="378">
        <v>36</v>
      </c>
      <c r="H211" s="371">
        <v>1946677.5</v>
      </c>
      <c r="I211" s="370">
        <v>36</v>
      </c>
      <c r="J211" s="372">
        <v>1972730.4100000001</v>
      </c>
      <c r="K211" s="373">
        <v>36</v>
      </c>
      <c r="L211" s="374">
        <v>1960736.33</v>
      </c>
      <c r="M211" s="372">
        <v>36</v>
      </c>
      <c r="N211" s="372">
        <v>1940975.23</v>
      </c>
      <c r="O211" s="372">
        <v>2082809.8199999998</v>
      </c>
      <c r="P211" s="369">
        <v>2216298.58</v>
      </c>
      <c r="Q211" s="369">
        <v>333977.14999999991</v>
      </c>
    </row>
    <row r="212" spans="1:17" ht="12" customHeight="1">
      <c r="A212" s="93"/>
      <c r="B212" s="362" t="s">
        <v>616</v>
      </c>
      <c r="C212" s="363" t="s">
        <v>1274</v>
      </c>
      <c r="D212" s="363" t="s">
        <v>134</v>
      </c>
      <c r="E212" s="364" t="s">
        <v>1271</v>
      </c>
      <c r="F212" s="365">
        <v>5680223.3399999999</v>
      </c>
      <c r="G212" s="364">
        <v>82</v>
      </c>
      <c r="H212" s="365">
        <v>5834271.9699999997</v>
      </c>
      <c r="I212" s="364">
        <v>78</v>
      </c>
      <c r="J212" s="366">
        <v>5453372.2400000002</v>
      </c>
      <c r="K212" s="367">
        <v>78</v>
      </c>
      <c r="L212" s="368">
        <v>5452837.7400000002</v>
      </c>
      <c r="M212" s="366">
        <v>78</v>
      </c>
      <c r="N212" s="366">
        <v>5730912.2200000007</v>
      </c>
      <c r="O212" s="366">
        <v>5556389.6299999999</v>
      </c>
      <c r="P212" s="362">
        <v>5175060.5</v>
      </c>
      <c r="Q212" s="363">
        <v>-50688.88000000082</v>
      </c>
    </row>
    <row r="213" spans="1:17" ht="12" customHeight="1">
      <c r="A213" s="93"/>
      <c r="B213" s="369" t="s">
        <v>618</v>
      </c>
      <c r="C213" s="369" t="s">
        <v>1272</v>
      </c>
      <c r="D213" s="369" t="s">
        <v>175</v>
      </c>
      <c r="E213" s="370" t="s">
        <v>1273</v>
      </c>
      <c r="F213" s="377">
        <v>9838457.6400000006</v>
      </c>
      <c r="G213" s="378">
        <v>65</v>
      </c>
      <c r="H213" s="371">
        <v>9836098.0500000007</v>
      </c>
      <c r="I213" s="370">
        <v>65</v>
      </c>
      <c r="J213" s="372">
        <v>9168318.4199999999</v>
      </c>
      <c r="K213" s="373">
        <v>65</v>
      </c>
      <c r="L213" s="374">
        <v>9130635.9499999993</v>
      </c>
      <c r="M213" s="372">
        <v>65</v>
      </c>
      <c r="N213" s="372">
        <v>8512673.4100000001</v>
      </c>
      <c r="O213" s="372">
        <v>7423942.5</v>
      </c>
      <c r="P213" s="369">
        <v>5452790.5099999998</v>
      </c>
      <c r="Q213" s="369">
        <v>1325784.2300000004</v>
      </c>
    </row>
    <row r="214" spans="1:17" ht="12" customHeight="1">
      <c r="A214" s="93"/>
      <c r="B214" s="362" t="s">
        <v>1299</v>
      </c>
      <c r="C214" s="363" t="s">
        <v>1272</v>
      </c>
      <c r="D214" s="363" t="s">
        <v>177</v>
      </c>
      <c r="E214" s="364" t="s">
        <v>1271</v>
      </c>
      <c r="F214" s="365">
        <v>5058735.7799999993</v>
      </c>
      <c r="G214" s="364">
        <v>71</v>
      </c>
      <c r="H214" s="365">
        <v>5319053.5</v>
      </c>
      <c r="I214" s="364">
        <v>80</v>
      </c>
      <c r="J214" s="366">
        <v>4823087.3599999994</v>
      </c>
      <c r="K214" s="367">
        <v>80</v>
      </c>
      <c r="L214" s="368">
        <v>4491227.17</v>
      </c>
      <c r="M214" s="366">
        <v>80</v>
      </c>
      <c r="N214" s="366">
        <v>3772445.1399999997</v>
      </c>
      <c r="O214" s="366">
        <v>251672.27</v>
      </c>
      <c r="P214" s="362">
        <v>66712.97</v>
      </c>
      <c r="Q214" s="363">
        <v>1286290.6399999997</v>
      </c>
    </row>
    <row r="215" spans="1:17" ht="12" customHeight="1">
      <c r="A215" s="93"/>
      <c r="B215" s="369" t="s">
        <v>1276</v>
      </c>
      <c r="C215" s="369" t="s">
        <v>1274</v>
      </c>
      <c r="D215" s="369" t="s">
        <v>139</v>
      </c>
      <c r="E215" s="370" t="s">
        <v>1271</v>
      </c>
      <c r="F215" s="377">
        <v>3974666.36</v>
      </c>
      <c r="G215" s="378">
        <v>42</v>
      </c>
      <c r="H215" s="371">
        <v>3438124</v>
      </c>
      <c r="I215" s="370">
        <v>42</v>
      </c>
      <c r="J215" s="372">
        <v>3454656.3899999997</v>
      </c>
      <c r="K215" s="373">
        <v>42</v>
      </c>
      <c r="L215" s="374">
        <v>3022265.51</v>
      </c>
      <c r="M215" s="372">
        <v>42</v>
      </c>
      <c r="N215" s="372">
        <v>3014986.38</v>
      </c>
      <c r="O215" s="372">
        <v>3135692.0700000003</v>
      </c>
      <c r="P215" s="369">
        <v>2868957.73</v>
      </c>
      <c r="Q215" s="369">
        <v>959679.98</v>
      </c>
    </row>
    <row r="216" spans="1:17" ht="12" customHeight="1">
      <c r="A216" s="93"/>
      <c r="B216" s="362" t="s">
        <v>624</v>
      </c>
      <c r="C216" s="363" t="s">
        <v>1272</v>
      </c>
      <c r="D216" s="363" t="s">
        <v>175</v>
      </c>
      <c r="E216" s="364" t="s">
        <v>1271</v>
      </c>
      <c r="F216" s="365">
        <v>6417283.6899999995</v>
      </c>
      <c r="G216" s="364">
        <v>70</v>
      </c>
      <c r="H216" s="365">
        <v>6300465.0999999996</v>
      </c>
      <c r="I216" s="364">
        <v>70</v>
      </c>
      <c r="J216" s="366">
        <v>5275077.57</v>
      </c>
      <c r="K216" s="367">
        <v>70</v>
      </c>
      <c r="L216" s="368">
        <v>5181323.9700000007</v>
      </c>
      <c r="M216" s="366">
        <v>70</v>
      </c>
      <c r="N216" s="366">
        <v>5364147.5</v>
      </c>
      <c r="O216" s="366">
        <v>4934156.9700000007</v>
      </c>
      <c r="P216" s="362">
        <v>4435213.8</v>
      </c>
      <c r="Q216" s="363">
        <v>1053136.1899999995</v>
      </c>
    </row>
    <row r="217" spans="1:17" ht="12" customHeight="1">
      <c r="A217" s="93"/>
      <c r="B217" s="369" t="s">
        <v>626</v>
      </c>
      <c r="C217" s="369" t="s">
        <v>1272</v>
      </c>
      <c r="D217" s="369" t="s">
        <v>106</v>
      </c>
      <c r="E217" s="370" t="s">
        <v>1273</v>
      </c>
      <c r="F217" s="377">
        <v>10280411.15</v>
      </c>
      <c r="G217" s="378">
        <v>100</v>
      </c>
      <c r="H217" s="371">
        <v>10493459.43</v>
      </c>
      <c r="I217" s="370">
        <v>100</v>
      </c>
      <c r="J217" s="372">
        <v>9807254.5</v>
      </c>
      <c r="K217" s="373">
        <v>100</v>
      </c>
      <c r="L217" s="374">
        <v>9761333.7100000009</v>
      </c>
      <c r="M217" s="372">
        <v>100</v>
      </c>
      <c r="N217" s="372">
        <v>9168719.5099999998</v>
      </c>
      <c r="O217" s="372">
        <v>9753137.3399999999</v>
      </c>
      <c r="P217" s="369">
        <v>9642427.5899999999</v>
      </c>
      <c r="Q217" s="369">
        <v>1111691.6400000006</v>
      </c>
    </row>
    <row r="218" spans="1:17" ht="12" customHeight="1">
      <c r="A218" s="93"/>
      <c r="B218" s="362" t="s">
        <v>1519</v>
      </c>
      <c r="C218" s="363" t="s">
        <v>1272</v>
      </c>
      <c r="D218" s="363" t="s">
        <v>128</v>
      </c>
      <c r="E218" s="364" t="s">
        <v>1273</v>
      </c>
      <c r="F218" s="365">
        <v>2158801.96</v>
      </c>
      <c r="G218" s="364">
        <v>30</v>
      </c>
      <c r="H218" s="365">
        <v>2666041.65</v>
      </c>
      <c r="I218" s="364">
        <v>30</v>
      </c>
      <c r="J218" s="366">
        <v>2888576.48</v>
      </c>
      <c r="K218" s="367">
        <v>30</v>
      </c>
      <c r="L218" s="368">
        <v>3022569.7800000003</v>
      </c>
      <c r="M218" s="366">
        <v>30</v>
      </c>
      <c r="N218" s="366">
        <v>3022301.19</v>
      </c>
      <c r="O218" s="366">
        <v>2724468.41</v>
      </c>
      <c r="P218" s="362">
        <v>2675952.9500000002</v>
      </c>
      <c r="Q218" s="363">
        <v>-863499.23</v>
      </c>
    </row>
    <row r="219" spans="1:17" ht="12" customHeight="1">
      <c r="A219" s="93"/>
      <c r="B219" s="369" t="s">
        <v>628</v>
      </c>
      <c r="C219" s="369" t="s">
        <v>1274</v>
      </c>
      <c r="D219" s="369" t="s">
        <v>129</v>
      </c>
      <c r="E219" s="370" t="s">
        <v>1273</v>
      </c>
      <c r="F219" s="377">
        <v>3952706.67</v>
      </c>
      <c r="G219" s="378">
        <v>47</v>
      </c>
      <c r="H219" s="371">
        <v>4224238.07</v>
      </c>
      <c r="I219" s="370">
        <v>47</v>
      </c>
      <c r="J219" s="372">
        <v>4103074.8</v>
      </c>
      <c r="K219" s="373">
        <v>47</v>
      </c>
      <c r="L219" s="374">
        <v>3741526.75</v>
      </c>
      <c r="M219" s="372">
        <v>47</v>
      </c>
      <c r="N219" s="372">
        <v>4076409.59</v>
      </c>
      <c r="O219" s="372">
        <v>3737002.96</v>
      </c>
      <c r="P219" s="369">
        <v>3950645.51</v>
      </c>
      <c r="Q219" s="369">
        <v>-123702.91999999993</v>
      </c>
    </row>
    <row r="220" spans="1:17" ht="12" customHeight="1">
      <c r="A220" s="93"/>
      <c r="B220" s="362" t="s">
        <v>630</v>
      </c>
      <c r="C220" s="363" t="s">
        <v>1272</v>
      </c>
      <c r="D220" s="363" t="s">
        <v>120</v>
      </c>
      <c r="E220" s="364" t="s">
        <v>1273</v>
      </c>
      <c r="F220" s="365">
        <v>6158222.6099999994</v>
      </c>
      <c r="G220" s="364">
        <v>46</v>
      </c>
      <c r="H220" s="365">
        <v>6126640.1500000004</v>
      </c>
      <c r="I220" s="364">
        <v>46</v>
      </c>
      <c r="J220" s="366">
        <v>5873160.0999999996</v>
      </c>
      <c r="K220" s="367">
        <v>46</v>
      </c>
      <c r="L220" s="368">
        <v>6321055.3399999999</v>
      </c>
      <c r="M220" s="366">
        <v>46</v>
      </c>
      <c r="N220" s="366">
        <v>6522082.2699999996</v>
      </c>
      <c r="O220" s="366">
        <v>6060574.3000000007</v>
      </c>
      <c r="P220" s="362">
        <v>5947755.8100000005</v>
      </c>
      <c r="Q220" s="363">
        <v>-363859.66000000015</v>
      </c>
    </row>
    <row r="221" spans="1:17" ht="12" customHeight="1">
      <c r="A221" s="93"/>
      <c r="B221" s="369" t="s">
        <v>632</v>
      </c>
      <c r="C221" s="369" t="s">
        <v>1274</v>
      </c>
      <c r="D221" s="369" t="s">
        <v>127</v>
      </c>
      <c r="E221" s="370" t="s">
        <v>1271</v>
      </c>
      <c r="F221" s="377">
        <v>2083856.01</v>
      </c>
      <c r="G221" s="378">
        <v>60</v>
      </c>
      <c r="H221" s="371">
        <v>2292049.1799999997</v>
      </c>
      <c r="I221" s="370">
        <v>60</v>
      </c>
      <c r="J221" s="372">
        <v>2338984.62</v>
      </c>
      <c r="K221" s="373">
        <v>60</v>
      </c>
      <c r="L221" s="374">
        <v>2250767.4500000002</v>
      </c>
      <c r="M221" s="372">
        <v>60</v>
      </c>
      <c r="N221" s="372">
        <v>2295748.8499999996</v>
      </c>
      <c r="O221" s="372">
        <v>2293827.8499999996</v>
      </c>
      <c r="P221" s="369">
        <v>2389773.27</v>
      </c>
      <c r="Q221" s="369">
        <v>-211892.83999999962</v>
      </c>
    </row>
    <row r="222" spans="1:17" ht="12" customHeight="1">
      <c r="A222" s="93"/>
      <c r="B222" s="362" t="s">
        <v>634</v>
      </c>
      <c r="C222" s="363" t="s">
        <v>1272</v>
      </c>
      <c r="D222" s="363" t="s">
        <v>122</v>
      </c>
      <c r="E222" s="364" t="s">
        <v>1271</v>
      </c>
      <c r="F222" s="365">
        <v>2206930.67</v>
      </c>
      <c r="G222" s="364">
        <v>29</v>
      </c>
      <c r="H222" s="365">
        <v>2359966.14</v>
      </c>
      <c r="I222" s="364">
        <v>29</v>
      </c>
      <c r="J222" s="366">
        <v>2270349.37</v>
      </c>
      <c r="K222" s="367">
        <v>29</v>
      </c>
      <c r="L222" s="368">
        <v>2171448.44</v>
      </c>
      <c r="M222" s="366">
        <v>29</v>
      </c>
      <c r="N222" s="366">
        <v>1990313.21</v>
      </c>
      <c r="O222" s="366">
        <v>2193669.9300000002</v>
      </c>
      <c r="P222" s="362">
        <v>2385401.92</v>
      </c>
      <c r="Q222" s="363">
        <v>216617.45999999996</v>
      </c>
    </row>
    <row r="223" spans="1:17" ht="12" customHeight="1">
      <c r="A223" s="93"/>
      <c r="B223" s="369" t="s">
        <v>636</v>
      </c>
      <c r="C223" s="369" t="s">
        <v>1272</v>
      </c>
      <c r="D223" s="369" t="s">
        <v>112</v>
      </c>
      <c r="E223" s="370" t="s">
        <v>1273</v>
      </c>
      <c r="F223" s="377">
        <v>19246936.449999999</v>
      </c>
      <c r="G223" s="378">
        <v>86</v>
      </c>
      <c r="H223" s="371">
        <v>17508639.890000001</v>
      </c>
      <c r="I223" s="370">
        <v>86</v>
      </c>
      <c r="J223" s="372">
        <v>15950698.009999998</v>
      </c>
      <c r="K223" s="373">
        <v>86</v>
      </c>
      <c r="L223" s="374">
        <v>18121751.670000002</v>
      </c>
      <c r="M223" s="372">
        <v>86</v>
      </c>
      <c r="N223" s="372">
        <v>17788348.560000002</v>
      </c>
      <c r="O223" s="372">
        <v>17310506.609999999</v>
      </c>
      <c r="P223" s="369">
        <v>17466945.219999999</v>
      </c>
      <c r="Q223" s="369">
        <v>1458587.8899999969</v>
      </c>
    </row>
    <row r="224" spans="1:17" ht="12" customHeight="1">
      <c r="A224" s="93"/>
      <c r="B224" s="362" t="s">
        <v>638</v>
      </c>
      <c r="C224" s="363" t="s">
        <v>1272</v>
      </c>
      <c r="D224" s="363" t="s">
        <v>152</v>
      </c>
      <c r="E224" s="364" t="s">
        <v>1271</v>
      </c>
      <c r="F224" s="365">
        <v>2635733.46</v>
      </c>
      <c r="G224" s="364">
        <v>39</v>
      </c>
      <c r="H224" s="365">
        <v>2193506.62</v>
      </c>
      <c r="I224" s="364">
        <v>25</v>
      </c>
      <c r="J224" s="366">
        <v>2205532.21</v>
      </c>
      <c r="K224" s="367">
        <v>25</v>
      </c>
      <c r="L224" s="368">
        <v>2128581.0999999996</v>
      </c>
      <c r="M224" s="366">
        <v>25</v>
      </c>
      <c r="N224" s="366">
        <v>2056570.46</v>
      </c>
      <c r="O224" s="366">
        <v>2090076.42</v>
      </c>
      <c r="P224" s="362">
        <v>1731052.48</v>
      </c>
      <c r="Q224" s="363">
        <v>579163</v>
      </c>
    </row>
    <row r="225" spans="1:17" ht="12" customHeight="1">
      <c r="A225" s="93"/>
      <c r="B225" s="369" t="s">
        <v>640</v>
      </c>
      <c r="C225" s="369" t="s">
        <v>1272</v>
      </c>
      <c r="D225" s="369" t="s">
        <v>112</v>
      </c>
      <c r="E225" s="370" t="s">
        <v>1273</v>
      </c>
      <c r="F225" s="377">
        <v>5582784.7199999997</v>
      </c>
      <c r="G225" s="378">
        <v>50</v>
      </c>
      <c r="H225" s="371">
        <v>5774764.9400000004</v>
      </c>
      <c r="I225" s="370">
        <v>50</v>
      </c>
      <c r="J225" s="372">
        <v>5597066.8599999994</v>
      </c>
      <c r="K225" s="373">
        <v>50</v>
      </c>
      <c r="L225" s="374">
        <v>5477455.8399999999</v>
      </c>
      <c r="M225" s="372">
        <v>50</v>
      </c>
      <c r="N225" s="372">
        <v>6016985</v>
      </c>
      <c r="O225" s="372">
        <v>5388424.7699999996</v>
      </c>
      <c r="P225" s="369">
        <v>5460355.5300000003</v>
      </c>
      <c r="Q225" s="369">
        <v>-434200.28000000026</v>
      </c>
    </row>
    <row r="226" spans="1:17" ht="12" customHeight="1">
      <c r="B226" s="362" t="s">
        <v>642</v>
      </c>
      <c r="C226" s="363" t="s">
        <v>1274</v>
      </c>
      <c r="D226" s="363" t="s">
        <v>28</v>
      </c>
      <c r="E226" s="364" t="s">
        <v>1271</v>
      </c>
      <c r="F226" s="365">
        <v>1942268.8599999999</v>
      </c>
      <c r="G226" s="364">
        <v>45</v>
      </c>
      <c r="H226" s="365">
        <v>1915570.5699999998</v>
      </c>
      <c r="I226" s="364">
        <v>45</v>
      </c>
      <c r="J226" s="366">
        <v>1907102.44</v>
      </c>
      <c r="K226" s="367">
        <v>45</v>
      </c>
      <c r="L226" s="368">
        <v>1712866.2000000002</v>
      </c>
      <c r="M226" s="366">
        <v>45</v>
      </c>
      <c r="N226" s="366">
        <v>1498998.31</v>
      </c>
      <c r="O226" s="366">
        <v>1393215.72</v>
      </c>
      <c r="P226" s="362">
        <v>1394736.79</v>
      </c>
      <c r="Q226" s="363">
        <v>443270.54999999981</v>
      </c>
    </row>
    <row r="227" spans="1:17" ht="12" customHeight="1">
      <c r="A227" s="93"/>
      <c r="B227" s="369" t="s">
        <v>644</v>
      </c>
      <c r="C227" s="369" t="s">
        <v>1272</v>
      </c>
      <c r="D227" s="369" t="s">
        <v>128</v>
      </c>
      <c r="E227" s="370" t="s">
        <v>1273</v>
      </c>
      <c r="F227" s="377">
        <v>18087265.170000002</v>
      </c>
      <c r="G227" s="378">
        <v>89</v>
      </c>
      <c r="H227" s="371">
        <v>18249403.98</v>
      </c>
      <c r="I227" s="370">
        <v>89</v>
      </c>
      <c r="J227" s="372">
        <v>18907603.530000001</v>
      </c>
      <c r="K227" s="373">
        <v>89</v>
      </c>
      <c r="L227" s="374">
        <v>18318557.719999999</v>
      </c>
      <c r="M227" s="372">
        <v>89</v>
      </c>
      <c r="N227" s="372">
        <v>19705513.32</v>
      </c>
      <c r="O227" s="372">
        <v>18240723.710000001</v>
      </c>
      <c r="P227" s="369">
        <v>17023021.710000001</v>
      </c>
      <c r="Q227" s="369">
        <v>-1618248.1499999985</v>
      </c>
    </row>
    <row r="228" spans="1:17" ht="12" customHeight="1">
      <c r="A228" s="93"/>
      <c r="B228" s="362" t="s">
        <v>646</v>
      </c>
      <c r="C228" s="363" t="s">
        <v>1274</v>
      </c>
      <c r="D228" s="363" t="s">
        <v>149</v>
      </c>
      <c r="E228" s="364" t="s">
        <v>1271</v>
      </c>
      <c r="F228" s="365">
        <v>5981480.0600000005</v>
      </c>
      <c r="G228" s="364">
        <v>76</v>
      </c>
      <c r="H228" s="365">
        <v>5610616.8499999996</v>
      </c>
      <c r="I228" s="364">
        <v>76</v>
      </c>
      <c r="J228" s="366">
        <v>5052405.7599999998</v>
      </c>
      <c r="K228" s="367">
        <v>76</v>
      </c>
      <c r="L228" s="368">
        <v>4728017.49</v>
      </c>
      <c r="M228" s="366">
        <v>76</v>
      </c>
      <c r="N228" s="366">
        <v>4789326.67</v>
      </c>
      <c r="O228" s="366">
        <v>4284646.38</v>
      </c>
      <c r="P228" s="362">
        <v>4458583.82</v>
      </c>
      <c r="Q228" s="363">
        <v>1192153.3900000006</v>
      </c>
    </row>
    <row r="229" spans="1:17" ht="12" customHeight="1">
      <c r="A229" s="93"/>
      <c r="B229" s="369" t="s">
        <v>648</v>
      </c>
      <c r="C229" s="369" t="s">
        <v>1272</v>
      </c>
      <c r="D229" s="369" t="s">
        <v>155</v>
      </c>
      <c r="E229" s="370" t="s">
        <v>1273</v>
      </c>
      <c r="F229" s="377">
        <v>4010883.4799999995</v>
      </c>
      <c r="G229" s="378">
        <v>33</v>
      </c>
      <c r="H229" s="371">
        <v>3870998.42</v>
      </c>
      <c r="I229" s="370">
        <v>33</v>
      </c>
      <c r="J229" s="372">
        <v>2626976.33</v>
      </c>
      <c r="K229" s="373">
        <v>33</v>
      </c>
      <c r="L229" s="374">
        <v>3040895.13</v>
      </c>
      <c r="M229" s="372">
        <v>33</v>
      </c>
      <c r="N229" s="372">
        <v>3125114.8799999999</v>
      </c>
      <c r="O229" s="372">
        <v>3073726.7199999997</v>
      </c>
      <c r="P229" s="369">
        <v>3504072.91</v>
      </c>
      <c r="Q229" s="369">
        <v>885768.59999999963</v>
      </c>
    </row>
    <row r="230" spans="1:17" ht="12" customHeight="1">
      <c r="A230" s="93"/>
      <c r="B230" s="362" t="s">
        <v>650</v>
      </c>
      <c r="C230" s="363" t="s">
        <v>1272</v>
      </c>
      <c r="D230" s="363" t="s">
        <v>155</v>
      </c>
      <c r="E230" s="364" t="s">
        <v>1273</v>
      </c>
      <c r="F230" s="365">
        <v>1805664</v>
      </c>
      <c r="G230" s="364">
        <v>40</v>
      </c>
      <c r="H230" s="365">
        <v>1920187.94</v>
      </c>
      <c r="I230" s="364">
        <v>40</v>
      </c>
      <c r="J230" s="366">
        <v>1776740.51</v>
      </c>
      <c r="K230" s="367">
        <v>40</v>
      </c>
      <c r="L230" s="368">
        <v>1755796.2200000002</v>
      </c>
      <c r="M230" s="366">
        <v>40</v>
      </c>
      <c r="N230" s="366">
        <v>1906868.5499999998</v>
      </c>
      <c r="O230" s="366">
        <v>2058995.52</v>
      </c>
      <c r="P230" s="362">
        <v>1915252.39</v>
      </c>
      <c r="Q230" s="363">
        <v>-101204.54999999981</v>
      </c>
    </row>
    <row r="231" spans="1:17" ht="12" customHeight="1">
      <c r="A231" s="93"/>
      <c r="B231" s="369" t="s">
        <v>652</v>
      </c>
      <c r="C231" s="369" t="s">
        <v>1272</v>
      </c>
      <c r="D231" s="369" t="s">
        <v>138</v>
      </c>
      <c r="E231" s="370" t="s">
        <v>1271</v>
      </c>
      <c r="F231" s="377">
        <v>7854545.2699999996</v>
      </c>
      <c r="G231" s="378">
        <v>100</v>
      </c>
      <c r="H231" s="371">
        <v>7987864.0599999996</v>
      </c>
      <c r="I231" s="370">
        <v>100</v>
      </c>
      <c r="J231" s="372">
        <v>7830237.5600000005</v>
      </c>
      <c r="K231" s="373">
        <v>100</v>
      </c>
      <c r="L231" s="374">
        <v>8445485.6099999994</v>
      </c>
      <c r="M231" s="372">
        <v>100</v>
      </c>
      <c r="N231" s="372">
        <v>8372131.1699999999</v>
      </c>
      <c r="O231" s="372">
        <v>6888359.4399999995</v>
      </c>
      <c r="P231" s="369">
        <v>6933908.0199999996</v>
      </c>
      <c r="Q231" s="369">
        <v>-517585.90000000037</v>
      </c>
    </row>
    <row r="232" spans="1:17" ht="12" customHeight="1">
      <c r="A232" s="93"/>
      <c r="B232" s="362" t="s">
        <v>654</v>
      </c>
      <c r="C232" s="363" t="s">
        <v>1272</v>
      </c>
      <c r="D232" s="363" t="s">
        <v>138</v>
      </c>
      <c r="E232" s="364" t="s">
        <v>1273</v>
      </c>
      <c r="F232" s="365">
        <v>8346414.2799999993</v>
      </c>
      <c r="G232" s="364">
        <v>73</v>
      </c>
      <c r="H232" s="365">
        <v>7978218.3000000007</v>
      </c>
      <c r="I232" s="364">
        <v>73</v>
      </c>
      <c r="J232" s="366">
        <v>8317657.379999999</v>
      </c>
      <c r="K232" s="367">
        <v>73</v>
      </c>
      <c r="L232" s="368">
        <v>3685407.5700000003</v>
      </c>
      <c r="M232" s="366">
        <v>73</v>
      </c>
      <c r="N232" s="366">
        <v>1593960.23</v>
      </c>
      <c r="O232" s="366">
        <v>7594431.7200000007</v>
      </c>
      <c r="P232" s="362">
        <v>7343982.1099999994</v>
      </c>
      <c r="Q232" s="363">
        <v>6752454.0499999989</v>
      </c>
    </row>
    <row r="233" spans="1:17" ht="12" customHeight="1">
      <c r="A233" s="93"/>
      <c r="B233" s="369" t="s">
        <v>656</v>
      </c>
      <c r="C233" s="369" t="s">
        <v>1272</v>
      </c>
      <c r="D233" s="369" t="s">
        <v>133</v>
      </c>
      <c r="E233" s="370" t="s">
        <v>1271</v>
      </c>
      <c r="F233" s="377">
        <v>3812757.5300000003</v>
      </c>
      <c r="G233" s="378">
        <v>61</v>
      </c>
      <c r="H233" s="371">
        <v>4170529.69</v>
      </c>
      <c r="I233" s="370">
        <v>61</v>
      </c>
      <c r="J233" s="372">
        <v>4224906.8600000003</v>
      </c>
      <c r="K233" s="373">
        <v>61</v>
      </c>
      <c r="L233" s="374">
        <v>4469871.16</v>
      </c>
      <c r="M233" s="372">
        <v>61</v>
      </c>
      <c r="N233" s="372">
        <v>4019621.43</v>
      </c>
      <c r="O233" s="372">
        <v>4096151.3600000003</v>
      </c>
      <c r="P233" s="369">
        <v>3896665.06</v>
      </c>
      <c r="Q233" s="369">
        <v>-206863.89999999991</v>
      </c>
    </row>
    <row r="234" spans="1:17" ht="12" customHeight="1">
      <c r="A234" s="93"/>
      <c r="B234" s="362" t="s">
        <v>658</v>
      </c>
      <c r="C234" s="363" t="s">
        <v>1274</v>
      </c>
      <c r="D234" s="363" t="s">
        <v>164</v>
      </c>
      <c r="E234" s="364" t="s">
        <v>1273</v>
      </c>
      <c r="F234" s="365">
        <v>1447447.22</v>
      </c>
      <c r="G234" s="364">
        <v>16</v>
      </c>
      <c r="H234" s="365">
        <v>1419298.33</v>
      </c>
      <c r="I234" s="364">
        <v>16</v>
      </c>
      <c r="J234" s="366">
        <v>1623068.5499999998</v>
      </c>
      <c r="K234" s="367">
        <v>16</v>
      </c>
      <c r="L234" s="368">
        <v>1525712.87</v>
      </c>
      <c r="M234" s="366">
        <v>16</v>
      </c>
      <c r="N234" s="366">
        <v>1571506.0899999999</v>
      </c>
      <c r="O234" s="366">
        <v>1442829.95</v>
      </c>
      <c r="P234" s="362">
        <v>1522370.35</v>
      </c>
      <c r="Q234" s="363">
        <v>-124058.86999999988</v>
      </c>
    </row>
    <row r="235" spans="1:17" ht="12" customHeight="1">
      <c r="A235" s="93"/>
      <c r="B235" s="369" t="s">
        <v>660</v>
      </c>
      <c r="C235" s="369" t="s">
        <v>1274</v>
      </c>
      <c r="D235" s="369" t="s">
        <v>114</v>
      </c>
      <c r="E235" s="370" t="s">
        <v>1271</v>
      </c>
      <c r="F235" s="377">
        <v>3167145.8</v>
      </c>
      <c r="G235" s="378">
        <v>53</v>
      </c>
      <c r="H235" s="371">
        <v>3099880.95</v>
      </c>
      <c r="I235" s="370">
        <v>53</v>
      </c>
      <c r="J235" s="372">
        <v>2887273.83</v>
      </c>
      <c r="K235" s="373">
        <v>52</v>
      </c>
      <c r="L235" s="374">
        <v>2893137.35</v>
      </c>
      <c r="M235" s="372">
        <v>53</v>
      </c>
      <c r="N235" s="372">
        <v>2869548.29</v>
      </c>
      <c r="O235" s="372">
        <v>2685708.13</v>
      </c>
      <c r="P235" s="369">
        <v>2968637.04</v>
      </c>
      <c r="Q235" s="369">
        <v>297597.50999999978</v>
      </c>
    </row>
    <row r="236" spans="1:17" ht="12" customHeight="1">
      <c r="A236" s="93"/>
      <c r="B236" s="362" t="s">
        <v>662</v>
      </c>
      <c r="C236" s="363" t="s">
        <v>1274</v>
      </c>
      <c r="D236" s="363" t="s">
        <v>141</v>
      </c>
      <c r="E236" s="364" t="s">
        <v>1271</v>
      </c>
      <c r="F236" s="365">
        <v>1773316.5699999998</v>
      </c>
      <c r="G236" s="364">
        <v>25</v>
      </c>
      <c r="H236" s="365">
        <v>1804764.81</v>
      </c>
      <c r="I236" s="364">
        <v>25</v>
      </c>
      <c r="J236" s="366">
        <v>1752987.27</v>
      </c>
      <c r="K236" s="367">
        <v>25</v>
      </c>
      <c r="L236" s="368">
        <v>1635517.67</v>
      </c>
      <c r="M236" s="366">
        <v>25</v>
      </c>
      <c r="N236" s="366">
        <v>1490931.1</v>
      </c>
      <c r="O236" s="366">
        <v>1487875.6099999999</v>
      </c>
      <c r="P236" s="362">
        <v>1408198.82</v>
      </c>
      <c r="Q236" s="363">
        <v>282385.46999999974</v>
      </c>
    </row>
    <row r="237" spans="1:17" ht="12" customHeight="1">
      <c r="A237" s="93"/>
      <c r="B237" s="369" t="s">
        <v>664</v>
      </c>
      <c r="C237" s="369" t="s">
        <v>1274</v>
      </c>
      <c r="D237" s="369" t="s">
        <v>141</v>
      </c>
      <c r="E237" s="370" t="s">
        <v>1271</v>
      </c>
      <c r="F237" s="377">
        <v>2235501.6900000004</v>
      </c>
      <c r="G237" s="378">
        <v>28</v>
      </c>
      <c r="H237" s="371">
        <v>1980535.44</v>
      </c>
      <c r="I237" s="370">
        <v>28</v>
      </c>
      <c r="J237" s="372">
        <v>1853196.11</v>
      </c>
      <c r="K237" s="373">
        <v>28</v>
      </c>
      <c r="L237" s="374">
        <v>2046339.46</v>
      </c>
      <c r="M237" s="372">
        <v>28</v>
      </c>
      <c r="N237" s="372">
        <v>2070041.8699999999</v>
      </c>
      <c r="O237" s="372">
        <v>2175783.88</v>
      </c>
      <c r="P237" s="369">
        <v>2317248.71</v>
      </c>
      <c r="Q237" s="369">
        <v>165459.82000000053</v>
      </c>
    </row>
    <row r="238" spans="1:17" ht="12" customHeight="1">
      <c r="A238" s="93"/>
      <c r="B238" s="362" t="s">
        <v>1300</v>
      </c>
      <c r="C238" s="363" t="s">
        <v>1274</v>
      </c>
      <c r="D238" s="363" t="s">
        <v>121</v>
      </c>
      <c r="E238" s="364" t="s">
        <v>1271</v>
      </c>
      <c r="F238" s="365">
        <v>3035909.85</v>
      </c>
      <c r="G238" s="364">
        <v>41</v>
      </c>
      <c r="H238" s="365">
        <v>3183053.63</v>
      </c>
      <c r="I238" s="364">
        <v>41</v>
      </c>
      <c r="J238" s="366">
        <v>2910485.23</v>
      </c>
      <c r="K238" s="367">
        <v>41</v>
      </c>
      <c r="L238" s="368">
        <v>2716803.24</v>
      </c>
      <c r="M238" s="366">
        <v>41</v>
      </c>
      <c r="N238" s="366">
        <v>2329041.6399999997</v>
      </c>
      <c r="O238" s="366">
        <v>2129131.2599999998</v>
      </c>
      <c r="P238" s="362">
        <v>2131714.56</v>
      </c>
      <c r="Q238" s="363">
        <v>706868.21000000043</v>
      </c>
    </row>
    <row r="239" spans="1:17" ht="12" customHeight="1">
      <c r="A239" s="93"/>
      <c r="B239" s="369" t="s">
        <v>668</v>
      </c>
      <c r="C239" s="369" t="s">
        <v>1274</v>
      </c>
      <c r="D239" s="369" t="s">
        <v>121</v>
      </c>
      <c r="E239" s="370" t="s">
        <v>1271</v>
      </c>
      <c r="F239" s="377">
        <v>4639047.25</v>
      </c>
      <c r="G239" s="378">
        <v>63</v>
      </c>
      <c r="H239" s="371">
        <v>4678891.21</v>
      </c>
      <c r="I239" s="370">
        <v>63</v>
      </c>
      <c r="J239" s="372">
        <v>4762131.9800000004</v>
      </c>
      <c r="K239" s="373">
        <v>63</v>
      </c>
      <c r="L239" s="374">
        <v>4848533.6199999992</v>
      </c>
      <c r="M239" s="372">
        <v>63</v>
      </c>
      <c r="N239" s="372">
        <v>4979975.6099999994</v>
      </c>
      <c r="O239" s="372">
        <v>4968390.1500000004</v>
      </c>
      <c r="P239" s="369">
        <v>4710676.51</v>
      </c>
      <c r="Q239" s="369">
        <v>-340928.3599999994</v>
      </c>
    </row>
    <row r="240" spans="1:17" ht="12" customHeight="1">
      <c r="A240" s="93"/>
      <c r="B240" s="362" t="s">
        <v>670</v>
      </c>
      <c r="C240" s="363" t="s">
        <v>1274</v>
      </c>
      <c r="D240" s="363" t="s">
        <v>121</v>
      </c>
      <c r="E240" s="364" t="s">
        <v>1271</v>
      </c>
      <c r="F240" s="365">
        <v>1942830.23</v>
      </c>
      <c r="G240" s="364">
        <v>35</v>
      </c>
      <c r="H240" s="365">
        <v>1826302.5099999998</v>
      </c>
      <c r="I240" s="364">
        <v>35</v>
      </c>
      <c r="J240" s="366">
        <v>1758899.98</v>
      </c>
      <c r="K240" s="367">
        <v>35</v>
      </c>
      <c r="L240" s="368">
        <v>1922254.17</v>
      </c>
      <c r="M240" s="366">
        <v>35</v>
      </c>
      <c r="N240" s="366">
        <v>1631895.37</v>
      </c>
      <c r="O240" s="366">
        <v>1708295.77</v>
      </c>
      <c r="P240" s="362">
        <v>1772584.19</v>
      </c>
      <c r="Q240" s="363">
        <v>310934.85999999987</v>
      </c>
    </row>
    <row r="241" spans="1:17" ht="12" customHeight="1">
      <c r="A241" s="93"/>
      <c r="B241" s="369" t="s">
        <v>672</v>
      </c>
      <c r="C241" s="369" t="s">
        <v>1274</v>
      </c>
      <c r="D241" s="369" t="s">
        <v>172</v>
      </c>
      <c r="E241" s="370" t="s">
        <v>1271</v>
      </c>
      <c r="F241" s="377">
        <v>659902.62</v>
      </c>
      <c r="G241" s="378">
        <v>33</v>
      </c>
      <c r="H241" s="371">
        <v>770763.72</v>
      </c>
      <c r="I241" s="370">
        <v>33</v>
      </c>
      <c r="J241" s="372">
        <v>839484.75</v>
      </c>
      <c r="K241" s="373">
        <v>33</v>
      </c>
      <c r="L241" s="374">
        <v>869801.92</v>
      </c>
      <c r="M241" s="372">
        <v>33</v>
      </c>
      <c r="N241" s="372">
        <v>814773.66</v>
      </c>
      <c r="O241" s="372">
        <v>743885.73</v>
      </c>
      <c r="P241" s="369">
        <v>752089.49</v>
      </c>
      <c r="Q241" s="369">
        <v>-154871.04000000004</v>
      </c>
    </row>
    <row r="242" spans="1:17" ht="12" customHeight="1">
      <c r="A242" s="93"/>
      <c r="B242" s="362" t="s">
        <v>674</v>
      </c>
      <c r="C242" s="363" t="s">
        <v>1272</v>
      </c>
      <c r="D242" s="363" t="s">
        <v>174</v>
      </c>
      <c r="E242" s="364" t="s">
        <v>1271</v>
      </c>
      <c r="F242" s="365">
        <v>3026840.9299999997</v>
      </c>
      <c r="G242" s="364">
        <v>36</v>
      </c>
      <c r="H242" s="365">
        <v>2765719.58</v>
      </c>
      <c r="I242" s="364">
        <v>36</v>
      </c>
      <c r="J242" s="366">
        <v>2580083.7800000003</v>
      </c>
      <c r="K242" s="367">
        <v>36</v>
      </c>
      <c r="L242" s="368">
        <v>2624631.27</v>
      </c>
      <c r="M242" s="366">
        <v>36</v>
      </c>
      <c r="N242" s="366">
        <v>2607187.5699999998</v>
      </c>
      <c r="O242" s="366">
        <v>2355933.71</v>
      </c>
      <c r="P242" s="362">
        <v>2419148.04</v>
      </c>
      <c r="Q242" s="363">
        <v>419653.35999999987</v>
      </c>
    </row>
    <row r="243" spans="1:17" ht="12" customHeight="1">
      <c r="A243" s="93"/>
      <c r="B243" s="369" t="s">
        <v>676</v>
      </c>
      <c r="C243" s="369" t="s">
        <v>1272</v>
      </c>
      <c r="D243" s="369" t="s">
        <v>122</v>
      </c>
      <c r="E243" s="370" t="s">
        <v>1273</v>
      </c>
      <c r="F243" s="377">
        <v>8590207.4000000004</v>
      </c>
      <c r="G243" s="378">
        <v>62</v>
      </c>
      <c r="H243" s="371">
        <v>8991715.5800000001</v>
      </c>
      <c r="I243" s="370">
        <v>62</v>
      </c>
      <c r="J243" s="372">
        <v>8249810.6500000004</v>
      </c>
      <c r="K243" s="373">
        <v>57</v>
      </c>
      <c r="L243" s="374">
        <v>7648021.25</v>
      </c>
      <c r="M243" s="372">
        <v>52</v>
      </c>
      <c r="N243" s="372">
        <v>7604420.5</v>
      </c>
      <c r="O243" s="372">
        <v>7488619.04</v>
      </c>
      <c r="P243" s="369">
        <v>7817511.5300000012</v>
      </c>
      <c r="Q243" s="369">
        <v>985786.90000000037</v>
      </c>
    </row>
    <row r="244" spans="1:17" ht="12" customHeight="1">
      <c r="A244" s="93"/>
      <c r="B244" s="362" t="s">
        <v>678</v>
      </c>
      <c r="C244" s="363" t="s">
        <v>1274</v>
      </c>
      <c r="D244" s="363" t="s">
        <v>129</v>
      </c>
      <c r="E244" s="364" t="s">
        <v>1273</v>
      </c>
      <c r="F244" s="365">
        <v>2678312.66</v>
      </c>
      <c r="G244" s="364">
        <v>40</v>
      </c>
      <c r="H244" s="365">
        <v>2640872.12</v>
      </c>
      <c r="I244" s="364">
        <v>40</v>
      </c>
      <c r="J244" s="366">
        <v>2259699.94</v>
      </c>
      <c r="K244" s="367">
        <v>40</v>
      </c>
      <c r="L244" s="368">
        <v>2380713.91</v>
      </c>
      <c r="M244" s="366">
        <v>40</v>
      </c>
      <c r="N244" s="366">
        <v>2452705.5099999998</v>
      </c>
      <c r="O244" s="366">
        <v>2261508.9900000002</v>
      </c>
      <c r="P244" s="362">
        <v>2054585.41</v>
      </c>
      <c r="Q244" s="363">
        <v>225607.15000000037</v>
      </c>
    </row>
    <row r="245" spans="1:17" ht="12" customHeight="1">
      <c r="A245" s="93"/>
      <c r="B245" s="369" t="s">
        <v>680</v>
      </c>
      <c r="C245" s="369" t="s">
        <v>1274</v>
      </c>
      <c r="D245" s="369" t="s">
        <v>129</v>
      </c>
      <c r="E245" s="370" t="s">
        <v>1271</v>
      </c>
      <c r="F245" s="377">
        <v>1821250.7</v>
      </c>
      <c r="G245" s="378">
        <v>50</v>
      </c>
      <c r="H245" s="371">
        <v>1953927.25</v>
      </c>
      <c r="I245" s="370">
        <v>50</v>
      </c>
      <c r="J245" s="372">
        <v>1792801.12</v>
      </c>
      <c r="K245" s="373">
        <v>50</v>
      </c>
      <c r="L245" s="374">
        <v>1401800.72</v>
      </c>
      <c r="M245" s="372">
        <v>50</v>
      </c>
      <c r="N245" s="372">
        <v>1502722.49</v>
      </c>
      <c r="O245" s="372">
        <v>1526803.95</v>
      </c>
      <c r="P245" s="369">
        <v>1555069.91</v>
      </c>
      <c r="Q245" s="369">
        <v>318528.20999999996</v>
      </c>
    </row>
    <row r="246" spans="1:17" ht="12" customHeight="1">
      <c r="A246" s="93"/>
      <c r="B246" s="362" t="s">
        <v>684</v>
      </c>
      <c r="C246" s="363" t="s">
        <v>1274</v>
      </c>
      <c r="D246" s="363" t="s">
        <v>164</v>
      </c>
      <c r="E246" s="364" t="s">
        <v>1271</v>
      </c>
      <c r="F246" s="365">
        <v>2776737.48</v>
      </c>
      <c r="G246" s="364">
        <v>44</v>
      </c>
      <c r="H246" s="365">
        <v>2706850.38</v>
      </c>
      <c r="I246" s="364">
        <v>44</v>
      </c>
      <c r="J246" s="366">
        <v>2832017.54</v>
      </c>
      <c r="K246" s="367">
        <v>44</v>
      </c>
      <c r="L246" s="368">
        <v>2927657.3</v>
      </c>
      <c r="M246" s="366">
        <v>44</v>
      </c>
      <c r="N246" s="366">
        <v>2811846.44</v>
      </c>
      <c r="O246" s="366">
        <v>2817240.6</v>
      </c>
      <c r="P246" s="362">
        <v>2660083.41</v>
      </c>
      <c r="Q246" s="363">
        <v>-35108.959999999963</v>
      </c>
    </row>
    <row r="247" spans="1:17" ht="12" customHeight="1">
      <c r="A247" s="93"/>
      <c r="B247" s="369" t="s">
        <v>686</v>
      </c>
      <c r="C247" s="369" t="s">
        <v>1274</v>
      </c>
      <c r="D247" s="369" t="s">
        <v>129</v>
      </c>
      <c r="E247" s="370" t="s">
        <v>1271</v>
      </c>
      <c r="F247" s="377">
        <v>3659585.7</v>
      </c>
      <c r="G247" s="378">
        <v>35</v>
      </c>
      <c r="H247" s="371">
        <v>3338955.62</v>
      </c>
      <c r="I247" s="370">
        <v>35</v>
      </c>
      <c r="J247" s="372">
        <v>2940972.75</v>
      </c>
      <c r="K247" s="373">
        <v>35</v>
      </c>
      <c r="L247" s="374">
        <v>2974167.81</v>
      </c>
      <c r="M247" s="372">
        <v>35</v>
      </c>
      <c r="N247" s="372">
        <v>2843707.92</v>
      </c>
      <c r="O247" s="372">
        <v>2831311.06</v>
      </c>
      <c r="P247" s="369">
        <v>2726117.61</v>
      </c>
      <c r="Q247" s="369">
        <v>815877.78000000026</v>
      </c>
    </row>
    <row r="248" spans="1:17" ht="12" customHeight="1">
      <c r="A248" s="93"/>
      <c r="B248" s="362" t="s">
        <v>688</v>
      </c>
      <c r="C248" s="363" t="s">
        <v>1272</v>
      </c>
      <c r="D248" s="363" t="s">
        <v>152</v>
      </c>
      <c r="E248" s="364" t="s">
        <v>1273</v>
      </c>
      <c r="F248" s="365">
        <v>5499318.1099999994</v>
      </c>
      <c r="G248" s="364">
        <v>38</v>
      </c>
      <c r="H248" s="365">
        <v>5478855.0599999996</v>
      </c>
      <c r="I248" s="364">
        <v>38</v>
      </c>
      <c r="J248" s="366">
        <v>5001146.2300000004</v>
      </c>
      <c r="K248" s="367">
        <v>38</v>
      </c>
      <c r="L248" s="368">
        <v>4932478.6199999992</v>
      </c>
      <c r="M248" s="366">
        <v>38</v>
      </c>
      <c r="N248" s="366">
        <v>4797900.8900000006</v>
      </c>
      <c r="O248" s="366">
        <v>5110015.01</v>
      </c>
      <c r="P248" s="362">
        <v>4552532.7</v>
      </c>
      <c r="Q248" s="363">
        <v>701417.21999999881</v>
      </c>
    </row>
    <row r="249" spans="1:17" ht="12" customHeight="1">
      <c r="A249" s="93"/>
      <c r="B249" s="369" t="s">
        <v>694</v>
      </c>
      <c r="C249" s="369" t="s">
        <v>1272</v>
      </c>
      <c r="D249" s="369" t="s">
        <v>137</v>
      </c>
      <c r="E249" s="370" t="s">
        <v>1273</v>
      </c>
      <c r="F249" s="377">
        <v>5009545.3900000006</v>
      </c>
      <c r="G249" s="378">
        <v>49</v>
      </c>
      <c r="H249" s="371">
        <v>4903723.7799999993</v>
      </c>
      <c r="I249" s="370">
        <v>49</v>
      </c>
      <c r="J249" s="372">
        <v>5057909.67</v>
      </c>
      <c r="K249" s="373">
        <v>49</v>
      </c>
      <c r="L249" s="374">
        <v>4917839.3499999996</v>
      </c>
      <c r="M249" s="372">
        <v>49</v>
      </c>
      <c r="N249" s="372">
        <v>4801739.1199999992</v>
      </c>
      <c r="O249" s="372">
        <v>4918211.17</v>
      </c>
      <c r="P249" s="369">
        <v>5390359.9000000004</v>
      </c>
      <c r="Q249" s="369">
        <v>207806.27000000142</v>
      </c>
    </row>
    <row r="250" spans="1:17" ht="12" customHeight="1">
      <c r="A250" s="93"/>
      <c r="B250" s="362" t="s">
        <v>1520</v>
      </c>
      <c r="C250" s="363" t="s">
        <v>1274</v>
      </c>
      <c r="D250" s="363" t="s">
        <v>129</v>
      </c>
      <c r="E250" s="364" t="s">
        <v>1273</v>
      </c>
      <c r="F250" s="365">
        <v>6527958.3699999992</v>
      </c>
      <c r="G250" s="364">
        <v>60</v>
      </c>
      <c r="H250" s="365">
        <v>6925548.2300000004</v>
      </c>
      <c r="I250" s="364">
        <v>60</v>
      </c>
      <c r="J250" s="366">
        <v>6833250.6500000004</v>
      </c>
      <c r="K250" s="367">
        <v>60</v>
      </c>
      <c r="L250" s="368">
        <v>6535956.5300000003</v>
      </c>
      <c r="M250" s="366">
        <v>60</v>
      </c>
      <c r="N250" s="366">
        <v>6107594.2400000002</v>
      </c>
      <c r="O250" s="366">
        <v>5631787.8200000003</v>
      </c>
      <c r="P250" s="362">
        <v>5739284.4199999999</v>
      </c>
      <c r="Q250" s="363">
        <v>420364.12999999896</v>
      </c>
    </row>
    <row r="251" spans="1:17" ht="12" customHeight="1">
      <c r="A251" s="93"/>
      <c r="B251" s="369" t="s">
        <v>698</v>
      </c>
      <c r="C251" s="369" t="s">
        <v>1274</v>
      </c>
      <c r="D251" s="369" t="s">
        <v>168</v>
      </c>
      <c r="E251" s="370" t="s">
        <v>1273</v>
      </c>
      <c r="F251" s="377">
        <v>477981.45</v>
      </c>
      <c r="G251" s="378">
        <v>10</v>
      </c>
      <c r="H251" s="371">
        <v>371947.29000000004</v>
      </c>
      <c r="I251" s="370">
        <v>10</v>
      </c>
      <c r="J251" s="372">
        <v>358843.22</v>
      </c>
      <c r="K251" s="373">
        <v>10</v>
      </c>
      <c r="L251" s="374">
        <v>325057.27</v>
      </c>
      <c r="M251" s="372">
        <v>10</v>
      </c>
      <c r="N251" s="372">
        <v>412038.65</v>
      </c>
      <c r="O251" s="372">
        <v>496980.14</v>
      </c>
      <c r="P251" s="369">
        <v>523974.65</v>
      </c>
      <c r="Q251" s="369">
        <v>65942.799999999988</v>
      </c>
    </row>
    <row r="252" spans="1:17" ht="12" customHeight="1">
      <c r="A252" s="93"/>
      <c r="B252" s="362" t="s">
        <v>700</v>
      </c>
      <c r="C252" s="363" t="s">
        <v>1272</v>
      </c>
      <c r="D252" s="363" t="s">
        <v>106</v>
      </c>
      <c r="E252" s="364" t="s">
        <v>1273</v>
      </c>
      <c r="F252" s="365">
        <v>9539192.6400000006</v>
      </c>
      <c r="G252" s="364">
        <v>85</v>
      </c>
      <c r="H252" s="365">
        <v>10184416.91</v>
      </c>
      <c r="I252" s="364">
        <v>85</v>
      </c>
      <c r="J252" s="366">
        <v>9462992.8500000015</v>
      </c>
      <c r="K252" s="367">
        <v>85</v>
      </c>
      <c r="L252" s="368">
        <v>9937596.4700000007</v>
      </c>
      <c r="M252" s="366">
        <v>85</v>
      </c>
      <c r="N252" s="366">
        <v>9849644.3499999996</v>
      </c>
      <c r="O252" s="366">
        <v>9602980.5</v>
      </c>
      <c r="P252" s="362">
        <v>9977014.1400000006</v>
      </c>
      <c r="Q252" s="363">
        <v>-310451.70999999903</v>
      </c>
    </row>
    <row r="253" spans="1:17" ht="12" customHeight="1">
      <c r="A253" s="93"/>
      <c r="B253" s="369" t="s">
        <v>702</v>
      </c>
      <c r="C253" s="369" t="s">
        <v>1272</v>
      </c>
      <c r="D253" s="369" t="s">
        <v>116</v>
      </c>
      <c r="E253" s="370" t="s">
        <v>1273</v>
      </c>
      <c r="F253" s="377">
        <v>8984342.4399999995</v>
      </c>
      <c r="G253" s="378">
        <v>55</v>
      </c>
      <c r="H253" s="371">
        <v>8989071.9299999997</v>
      </c>
      <c r="I253" s="370">
        <v>55</v>
      </c>
      <c r="J253" s="372">
        <v>8826801.4399999995</v>
      </c>
      <c r="K253" s="373">
        <v>55</v>
      </c>
      <c r="L253" s="374">
        <v>8974985.3999999985</v>
      </c>
      <c r="M253" s="372">
        <v>55</v>
      </c>
      <c r="N253" s="372">
        <v>8576868.5600000005</v>
      </c>
      <c r="O253" s="372">
        <v>7283346.3300000001</v>
      </c>
      <c r="P253" s="369">
        <v>7193093.1200000001</v>
      </c>
      <c r="Q253" s="369">
        <v>407473.87999999896</v>
      </c>
    </row>
    <row r="254" spans="1:17" ht="12" customHeight="1">
      <c r="A254" s="93"/>
      <c r="B254" s="362" t="s">
        <v>706</v>
      </c>
      <c r="C254" s="363" t="s">
        <v>1272</v>
      </c>
      <c r="D254" s="363" t="s">
        <v>147</v>
      </c>
      <c r="E254" s="364" t="s">
        <v>1273</v>
      </c>
      <c r="F254" s="365">
        <v>12219826.52</v>
      </c>
      <c r="G254" s="364">
        <v>82</v>
      </c>
      <c r="H254" s="365">
        <v>11665918.620000001</v>
      </c>
      <c r="I254" s="364">
        <v>82</v>
      </c>
      <c r="J254" s="366">
        <v>10765990.649999999</v>
      </c>
      <c r="K254" s="367">
        <v>76</v>
      </c>
      <c r="L254" s="368">
        <v>11113475.640000001</v>
      </c>
      <c r="M254" s="366">
        <v>82</v>
      </c>
      <c r="N254" s="366">
        <v>10873761.689999999</v>
      </c>
      <c r="O254" s="366">
        <v>10512080.82</v>
      </c>
      <c r="P254" s="362">
        <v>10925749.939999999</v>
      </c>
      <c r="Q254" s="363">
        <v>1346064.83</v>
      </c>
    </row>
    <row r="255" spans="1:17" ht="12" customHeight="1">
      <c r="A255" s="93"/>
      <c r="B255" s="369" t="s">
        <v>708</v>
      </c>
      <c r="C255" s="369" t="s">
        <v>1274</v>
      </c>
      <c r="D255" s="369" t="s">
        <v>179</v>
      </c>
      <c r="E255" s="370" t="s">
        <v>1273</v>
      </c>
      <c r="F255" s="377">
        <v>3884288.19</v>
      </c>
      <c r="G255" s="378">
        <v>31</v>
      </c>
      <c r="H255" s="371">
        <v>3617158.98</v>
      </c>
      <c r="I255" s="370">
        <v>31</v>
      </c>
      <c r="J255" s="372">
        <v>3927323.3099999996</v>
      </c>
      <c r="K255" s="373">
        <v>31</v>
      </c>
      <c r="L255" s="374">
        <v>3566966.13</v>
      </c>
      <c r="M255" s="372">
        <v>31</v>
      </c>
      <c r="N255" s="372">
        <v>3639941.76</v>
      </c>
      <c r="O255" s="372">
        <v>3615135.37</v>
      </c>
      <c r="P255" s="369">
        <v>3573330</v>
      </c>
      <c r="Q255" s="369">
        <v>244346.43000000017</v>
      </c>
    </row>
    <row r="256" spans="1:17" ht="12" customHeight="1">
      <c r="A256" s="93"/>
      <c r="B256" s="362" t="s">
        <v>710</v>
      </c>
      <c r="C256" s="363" t="s">
        <v>1274</v>
      </c>
      <c r="D256" s="363" t="s">
        <v>172</v>
      </c>
      <c r="E256" s="364" t="s">
        <v>1271</v>
      </c>
      <c r="F256" s="365">
        <v>3037418.5300000003</v>
      </c>
      <c r="G256" s="364">
        <v>35</v>
      </c>
      <c r="H256" s="365">
        <v>2857991.3600000003</v>
      </c>
      <c r="I256" s="364">
        <v>35</v>
      </c>
      <c r="J256" s="366">
        <v>2905371.7</v>
      </c>
      <c r="K256" s="367">
        <v>35</v>
      </c>
      <c r="L256" s="368">
        <v>2362377.7000000002</v>
      </c>
      <c r="M256" s="366">
        <v>35</v>
      </c>
      <c r="N256" s="366">
        <v>2710358.31</v>
      </c>
      <c r="O256" s="366">
        <v>2900169.87</v>
      </c>
      <c r="P256" s="362">
        <v>2860582.53</v>
      </c>
      <c r="Q256" s="363">
        <v>327060.2200000002</v>
      </c>
    </row>
    <row r="257" spans="1:17" ht="12" customHeight="1">
      <c r="A257" s="93"/>
      <c r="B257" s="369" t="s">
        <v>712</v>
      </c>
      <c r="C257" s="369" t="s">
        <v>1274</v>
      </c>
      <c r="D257" s="369" t="s">
        <v>149</v>
      </c>
      <c r="E257" s="370" t="s">
        <v>1273</v>
      </c>
      <c r="F257" s="377">
        <v>889451.92999999993</v>
      </c>
      <c r="G257" s="378">
        <v>0</v>
      </c>
      <c r="H257" s="371">
        <v>1296618.42</v>
      </c>
      <c r="I257" s="370">
        <v>24</v>
      </c>
      <c r="J257" s="372">
        <v>951383.38</v>
      </c>
      <c r="K257" s="373">
        <v>24</v>
      </c>
      <c r="L257" s="374">
        <v>849063.88</v>
      </c>
      <c r="M257" s="372">
        <v>24</v>
      </c>
      <c r="N257" s="372">
        <v>840038.15</v>
      </c>
      <c r="O257" s="372">
        <v>937517.2</v>
      </c>
      <c r="P257" s="369">
        <v>897226</v>
      </c>
      <c r="Q257" s="369">
        <v>49413.779999999912</v>
      </c>
    </row>
    <row r="258" spans="1:17" ht="12" customHeight="1">
      <c r="A258" s="93"/>
      <c r="B258" s="362" t="s">
        <v>714</v>
      </c>
      <c r="C258" s="363" t="s">
        <v>1272</v>
      </c>
      <c r="D258" s="363" t="s">
        <v>146</v>
      </c>
      <c r="E258" s="364" t="s">
        <v>1273</v>
      </c>
      <c r="F258" s="365">
        <v>9926363.3999999985</v>
      </c>
      <c r="G258" s="364">
        <v>80</v>
      </c>
      <c r="H258" s="365">
        <v>9261597.8900000006</v>
      </c>
      <c r="I258" s="364">
        <v>80</v>
      </c>
      <c r="J258" s="366">
        <v>7981761.6699999999</v>
      </c>
      <c r="K258" s="367">
        <v>80</v>
      </c>
      <c r="L258" s="368">
        <v>7672422.0999999996</v>
      </c>
      <c r="M258" s="366">
        <v>80</v>
      </c>
      <c r="N258" s="366">
        <v>6642425.1500000004</v>
      </c>
      <c r="O258" s="366">
        <v>5812569.5999999996</v>
      </c>
      <c r="P258" s="362">
        <v>5269384.9800000004</v>
      </c>
      <c r="Q258" s="363">
        <v>3283938.2499999981</v>
      </c>
    </row>
    <row r="259" spans="1:17" ht="12" customHeight="1">
      <c r="A259" s="93"/>
      <c r="B259" s="369" t="s">
        <v>716</v>
      </c>
      <c r="C259" s="369" t="s">
        <v>1272</v>
      </c>
      <c r="D259" s="369" t="s">
        <v>166</v>
      </c>
      <c r="E259" s="370" t="s">
        <v>1273</v>
      </c>
      <c r="F259" s="377">
        <v>3337550.6100000003</v>
      </c>
      <c r="G259" s="378">
        <v>30</v>
      </c>
      <c r="H259" s="371">
        <v>3332768.65</v>
      </c>
      <c r="I259" s="370">
        <v>30</v>
      </c>
      <c r="J259" s="372">
        <v>3748311.81</v>
      </c>
      <c r="K259" s="373">
        <v>30</v>
      </c>
      <c r="L259" s="374">
        <v>3319336.37</v>
      </c>
      <c r="M259" s="372">
        <v>30</v>
      </c>
      <c r="N259" s="372">
        <v>3474591.16</v>
      </c>
      <c r="O259" s="372">
        <v>3826489.09</v>
      </c>
      <c r="P259" s="369">
        <v>3653320.65</v>
      </c>
      <c r="Q259" s="369">
        <v>-137040.54999999981</v>
      </c>
    </row>
    <row r="260" spans="1:17" ht="12" customHeight="1">
      <c r="A260" s="93"/>
      <c r="B260" s="362" t="s">
        <v>718</v>
      </c>
      <c r="C260" s="363" t="s">
        <v>1272</v>
      </c>
      <c r="D260" s="363" t="s">
        <v>145</v>
      </c>
      <c r="E260" s="364" t="s">
        <v>1273</v>
      </c>
      <c r="F260" s="365">
        <v>7953247.9499999993</v>
      </c>
      <c r="G260" s="364">
        <v>72</v>
      </c>
      <c r="H260" s="365">
        <v>8232421.8399999999</v>
      </c>
      <c r="I260" s="364">
        <v>72</v>
      </c>
      <c r="J260" s="366">
        <v>8461979.0199999996</v>
      </c>
      <c r="K260" s="367">
        <v>72</v>
      </c>
      <c r="L260" s="368">
        <v>8425838.370000001</v>
      </c>
      <c r="M260" s="366">
        <v>69</v>
      </c>
      <c r="N260" s="366">
        <v>8664908.6799999997</v>
      </c>
      <c r="O260" s="366">
        <v>9256871.3399999999</v>
      </c>
      <c r="P260" s="362">
        <v>9375572.129999999</v>
      </c>
      <c r="Q260" s="363">
        <v>-711660.73000000045</v>
      </c>
    </row>
    <row r="261" spans="1:17" ht="12" customHeight="1">
      <c r="A261" s="93"/>
      <c r="B261" s="369" t="s">
        <v>720</v>
      </c>
      <c r="C261" s="369" t="s">
        <v>1272</v>
      </c>
      <c r="D261" s="369" t="s">
        <v>142</v>
      </c>
      <c r="E261" s="370" t="s">
        <v>1271</v>
      </c>
      <c r="F261" s="377">
        <v>3968025.29</v>
      </c>
      <c r="G261" s="378">
        <v>90</v>
      </c>
      <c r="H261" s="371">
        <v>4396013.6400000006</v>
      </c>
      <c r="I261" s="370">
        <v>90</v>
      </c>
      <c r="J261" s="372">
        <v>4350523.0999999996</v>
      </c>
      <c r="K261" s="373">
        <v>90</v>
      </c>
      <c r="L261" s="374">
        <v>4409179.18</v>
      </c>
      <c r="M261" s="372">
        <v>90</v>
      </c>
      <c r="N261" s="372">
        <v>4704809.4499999993</v>
      </c>
      <c r="O261" s="372">
        <v>4419469.9800000004</v>
      </c>
      <c r="P261" s="369">
        <v>5444742.04</v>
      </c>
      <c r="Q261" s="369">
        <v>-736784.15999999922</v>
      </c>
    </row>
    <row r="262" spans="1:17" ht="12" customHeight="1">
      <c r="A262" s="93"/>
      <c r="B262" s="362" t="s">
        <v>722</v>
      </c>
      <c r="C262" s="363" t="s">
        <v>1274</v>
      </c>
      <c r="D262" s="363" t="s">
        <v>30</v>
      </c>
      <c r="E262" s="364" t="s">
        <v>1271</v>
      </c>
      <c r="F262" s="365">
        <v>1533604.16</v>
      </c>
      <c r="G262" s="364">
        <v>40</v>
      </c>
      <c r="H262" s="365">
        <v>1611791.69</v>
      </c>
      <c r="I262" s="364">
        <v>40</v>
      </c>
      <c r="J262" s="366">
        <v>1619488.47</v>
      </c>
      <c r="K262" s="367">
        <v>40</v>
      </c>
      <c r="L262" s="368">
        <v>1437997.01</v>
      </c>
      <c r="M262" s="366">
        <v>40</v>
      </c>
      <c r="N262" s="366">
        <v>1677514.76</v>
      </c>
      <c r="O262" s="366">
        <v>1514346.6600000001</v>
      </c>
      <c r="P262" s="362">
        <v>1643498.61</v>
      </c>
      <c r="Q262" s="363">
        <v>-143910.60000000009</v>
      </c>
    </row>
    <row r="263" spans="1:17" ht="12" customHeight="1">
      <c r="A263" s="93"/>
      <c r="B263" s="369" t="s">
        <v>724</v>
      </c>
      <c r="C263" s="369" t="s">
        <v>1272</v>
      </c>
      <c r="D263" s="369" t="s">
        <v>109</v>
      </c>
      <c r="E263" s="370" t="s">
        <v>1273</v>
      </c>
      <c r="F263" s="377">
        <v>2734254.67</v>
      </c>
      <c r="G263" s="378">
        <v>40</v>
      </c>
      <c r="H263" s="371">
        <v>3301399.15</v>
      </c>
      <c r="I263" s="370">
        <v>40</v>
      </c>
      <c r="J263" s="372">
        <v>3203458.08</v>
      </c>
      <c r="K263" s="373">
        <v>40</v>
      </c>
      <c r="L263" s="374">
        <v>3385094.82</v>
      </c>
      <c r="M263" s="372">
        <v>40</v>
      </c>
      <c r="N263" s="372">
        <v>3951140.06</v>
      </c>
      <c r="O263" s="372">
        <v>3764948.12</v>
      </c>
      <c r="P263" s="369">
        <v>3864037.18</v>
      </c>
      <c r="Q263" s="369">
        <v>-1216885.3900000001</v>
      </c>
    </row>
    <row r="264" spans="1:17" ht="12" customHeight="1">
      <c r="A264" s="93"/>
      <c r="B264" s="362" t="s">
        <v>726</v>
      </c>
      <c r="C264" s="363" t="s">
        <v>1272</v>
      </c>
      <c r="D264" s="363" t="s">
        <v>145</v>
      </c>
      <c r="E264" s="364" t="s">
        <v>1271</v>
      </c>
      <c r="F264" s="365">
        <v>1616644.27</v>
      </c>
      <c r="G264" s="364">
        <v>44</v>
      </c>
      <c r="H264" s="365">
        <v>1890527.7599999998</v>
      </c>
      <c r="I264" s="364">
        <v>44</v>
      </c>
      <c r="J264" s="366">
        <v>1967500.7200000002</v>
      </c>
      <c r="K264" s="367">
        <v>44</v>
      </c>
      <c r="L264" s="368">
        <v>2043556.87</v>
      </c>
      <c r="M264" s="366">
        <v>44</v>
      </c>
      <c r="N264" s="366">
        <v>2362705.75</v>
      </c>
      <c r="O264" s="366">
        <v>2607108.29</v>
      </c>
      <c r="P264" s="362">
        <v>2857217.17</v>
      </c>
      <c r="Q264" s="363">
        <v>-746061.48</v>
      </c>
    </row>
    <row r="265" spans="1:17" ht="12" customHeight="1">
      <c r="A265" s="93"/>
      <c r="B265" s="369" t="s">
        <v>728</v>
      </c>
      <c r="C265" s="369" t="s">
        <v>1274</v>
      </c>
      <c r="D265" s="369" t="s">
        <v>26</v>
      </c>
      <c r="E265" s="370" t="s">
        <v>1271</v>
      </c>
      <c r="F265" s="377">
        <v>2075952.71</v>
      </c>
      <c r="G265" s="378">
        <v>40</v>
      </c>
      <c r="H265" s="371">
        <v>2285497.2400000002</v>
      </c>
      <c r="I265" s="370">
        <v>40</v>
      </c>
      <c r="J265" s="372">
        <v>2459600.7400000002</v>
      </c>
      <c r="K265" s="373">
        <v>40</v>
      </c>
      <c r="L265" s="374">
        <v>2267940.73</v>
      </c>
      <c r="M265" s="372">
        <v>40</v>
      </c>
      <c r="N265" s="372">
        <v>2226500.5</v>
      </c>
      <c r="O265" s="372">
        <v>2535854.88</v>
      </c>
      <c r="P265" s="369">
        <v>2588759.27</v>
      </c>
      <c r="Q265" s="369">
        <v>-150547.79000000004</v>
      </c>
    </row>
    <row r="266" spans="1:17" ht="12" customHeight="1">
      <c r="A266" s="93"/>
      <c r="B266" s="362" t="s">
        <v>730</v>
      </c>
      <c r="C266" s="363" t="s">
        <v>1274</v>
      </c>
      <c r="D266" s="363" t="s">
        <v>26</v>
      </c>
      <c r="E266" s="364" t="s">
        <v>1271</v>
      </c>
      <c r="F266" s="365">
        <v>5381681.5800000001</v>
      </c>
      <c r="G266" s="364">
        <v>59</v>
      </c>
      <c r="H266" s="365">
        <v>5403429.8599999994</v>
      </c>
      <c r="I266" s="364">
        <v>59</v>
      </c>
      <c r="J266" s="366">
        <v>4865538.3</v>
      </c>
      <c r="K266" s="367">
        <v>59</v>
      </c>
      <c r="L266" s="368">
        <v>4836852.91</v>
      </c>
      <c r="M266" s="366">
        <v>59</v>
      </c>
      <c r="N266" s="366">
        <v>4657230.0199999996</v>
      </c>
      <c r="O266" s="366">
        <v>4630077.8800000008</v>
      </c>
      <c r="P266" s="362">
        <v>4705781.38</v>
      </c>
      <c r="Q266" s="363">
        <v>724451.56000000052</v>
      </c>
    </row>
    <row r="267" spans="1:17" ht="12" customHeight="1">
      <c r="A267" s="93"/>
      <c r="B267" s="369" t="s">
        <v>732</v>
      </c>
      <c r="C267" s="369" t="s">
        <v>1272</v>
      </c>
      <c r="D267" s="369" t="s">
        <v>151</v>
      </c>
      <c r="E267" s="370" t="s">
        <v>1273</v>
      </c>
      <c r="F267" s="377">
        <v>10249884.199999999</v>
      </c>
      <c r="G267" s="378">
        <v>75</v>
      </c>
      <c r="H267" s="371">
        <v>10837903.220000001</v>
      </c>
      <c r="I267" s="370">
        <v>75</v>
      </c>
      <c r="J267" s="372">
        <v>11037492.4</v>
      </c>
      <c r="K267" s="373">
        <v>75</v>
      </c>
      <c r="L267" s="374">
        <v>11467406.289999999</v>
      </c>
      <c r="M267" s="372">
        <v>75</v>
      </c>
      <c r="N267" s="372">
        <v>12140650.359999999</v>
      </c>
      <c r="O267" s="372">
        <v>11891056.140000001</v>
      </c>
      <c r="P267" s="369">
        <v>11930808.039999999</v>
      </c>
      <c r="Q267" s="369">
        <v>-1890766.1600000001</v>
      </c>
    </row>
    <row r="268" spans="1:17" ht="12" customHeight="1">
      <c r="A268" s="93"/>
      <c r="B268" s="362" t="s">
        <v>734</v>
      </c>
      <c r="C268" s="363" t="s">
        <v>1274</v>
      </c>
      <c r="D268" s="363" t="s">
        <v>164</v>
      </c>
      <c r="E268" s="364" t="s">
        <v>1273</v>
      </c>
      <c r="F268" s="365">
        <v>1478180.55</v>
      </c>
      <c r="G268" s="364">
        <v>20</v>
      </c>
      <c r="H268" s="365">
        <v>1469673.03</v>
      </c>
      <c r="I268" s="364">
        <v>20</v>
      </c>
      <c r="J268" s="366">
        <v>1434162.9500000002</v>
      </c>
      <c r="K268" s="367">
        <v>20</v>
      </c>
      <c r="L268" s="368">
        <v>1290192.3500000001</v>
      </c>
      <c r="M268" s="366">
        <v>20</v>
      </c>
      <c r="N268" s="366">
        <v>1446674.5</v>
      </c>
      <c r="O268" s="366">
        <v>1430426.18</v>
      </c>
      <c r="P268" s="362">
        <v>1556126.45</v>
      </c>
      <c r="Q268" s="363">
        <v>31506.050000000047</v>
      </c>
    </row>
    <row r="269" spans="1:17" ht="12" customHeight="1">
      <c r="A269" s="93"/>
      <c r="B269" s="369" t="s">
        <v>736</v>
      </c>
      <c r="C269" s="369" t="s">
        <v>1272</v>
      </c>
      <c r="D269" s="369" t="s">
        <v>124</v>
      </c>
      <c r="E269" s="370" t="s">
        <v>1273</v>
      </c>
      <c r="F269" s="377">
        <v>2812823.8</v>
      </c>
      <c r="G269" s="378">
        <v>45</v>
      </c>
      <c r="H269" s="371">
        <v>3117074.12</v>
      </c>
      <c r="I269" s="370">
        <v>45</v>
      </c>
      <c r="J269" s="372">
        <v>3051045.19</v>
      </c>
      <c r="K269" s="373">
        <v>45</v>
      </c>
      <c r="L269" s="374">
        <v>2938548.08</v>
      </c>
      <c r="M269" s="372">
        <v>45</v>
      </c>
      <c r="N269" s="372">
        <v>2186861.7400000002</v>
      </c>
      <c r="O269" s="372">
        <v>1636708.17</v>
      </c>
      <c r="P269" s="369">
        <v>1342245.94</v>
      </c>
      <c r="Q269" s="369">
        <v>625962.05999999959</v>
      </c>
    </row>
    <row r="270" spans="1:17" ht="12" customHeight="1">
      <c r="A270" s="93"/>
      <c r="B270" s="362" t="s">
        <v>738</v>
      </c>
      <c r="C270" s="363" t="s">
        <v>1272</v>
      </c>
      <c r="D270" s="363" t="s">
        <v>135</v>
      </c>
      <c r="E270" s="364" t="s">
        <v>1273</v>
      </c>
      <c r="F270" s="365">
        <v>10901988.739999998</v>
      </c>
      <c r="G270" s="364">
        <v>70</v>
      </c>
      <c r="H270" s="365">
        <v>10556901.469999999</v>
      </c>
      <c r="I270" s="364">
        <v>70</v>
      </c>
      <c r="J270" s="366">
        <v>10950827.390000001</v>
      </c>
      <c r="K270" s="367">
        <v>70</v>
      </c>
      <c r="L270" s="368">
        <v>11584665.800000001</v>
      </c>
      <c r="M270" s="366">
        <v>70</v>
      </c>
      <c r="N270" s="366">
        <v>12126943.300000001</v>
      </c>
      <c r="O270" s="366">
        <v>11872477.02</v>
      </c>
      <c r="P270" s="362">
        <v>10549473.09</v>
      </c>
      <c r="Q270" s="363">
        <v>-1224954.5600000024</v>
      </c>
    </row>
    <row r="271" spans="1:17" ht="12" customHeight="1">
      <c r="A271" s="93"/>
      <c r="B271" s="369" t="s">
        <v>1301</v>
      </c>
      <c r="C271" s="369" t="s">
        <v>1272</v>
      </c>
      <c r="D271" s="369" t="s">
        <v>146</v>
      </c>
      <c r="E271" s="370" t="s">
        <v>1271</v>
      </c>
      <c r="F271" s="377">
        <v>8154902.29</v>
      </c>
      <c r="G271" s="378">
        <v>56</v>
      </c>
      <c r="H271" s="371">
        <v>7305980.4499999993</v>
      </c>
      <c r="I271" s="370">
        <v>56</v>
      </c>
      <c r="J271" s="372">
        <v>6068466.1400000006</v>
      </c>
      <c r="K271" s="373">
        <v>56</v>
      </c>
      <c r="L271" s="374">
        <v>6220926.4299999997</v>
      </c>
      <c r="M271" s="372">
        <v>56</v>
      </c>
      <c r="N271" s="372">
        <v>5487411.4700000007</v>
      </c>
      <c r="O271" s="372">
        <v>5323778.25</v>
      </c>
      <c r="P271" s="369">
        <v>5485085.7199999997</v>
      </c>
      <c r="Q271" s="369">
        <v>2667490.8199999994</v>
      </c>
    </row>
    <row r="272" spans="1:17" ht="12" customHeight="1">
      <c r="A272" s="93"/>
      <c r="B272" s="362" t="s">
        <v>740</v>
      </c>
      <c r="C272" s="363" t="s">
        <v>1272</v>
      </c>
      <c r="D272" s="363" t="s">
        <v>147</v>
      </c>
      <c r="E272" s="364" t="s">
        <v>1271</v>
      </c>
      <c r="F272" s="365">
        <v>5874897.5800000001</v>
      </c>
      <c r="G272" s="364">
        <v>90</v>
      </c>
      <c r="H272" s="365">
        <v>5685208.4900000002</v>
      </c>
      <c r="I272" s="364">
        <v>90</v>
      </c>
      <c r="J272" s="366">
        <v>5688281.0999999996</v>
      </c>
      <c r="K272" s="367">
        <v>90</v>
      </c>
      <c r="L272" s="368">
        <v>5747188.7699999996</v>
      </c>
      <c r="M272" s="366">
        <v>90</v>
      </c>
      <c r="N272" s="366">
        <v>5698878.1699999999</v>
      </c>
      <c r="O272" s="366">
        <v>5752072.5899999999</v>
      </c>
      <c r="P272" s="362">
        <v>5673587.6699999999</v>
      </c>
      <c r="Q272" s="363">
        <v>176019.41000000015</v>
      </c>
    </row>
    <row r="273" spans="1:17" ht="12" customHeight="1">
      <c r="A273" s="93"/>
      <c r="B273" s="369" t="s">
        <v>742</v>
      </c>
      <c r="C273" s="369" t="s">
        <v>1272</v>
      </c>
      <c r="D273" s="369" t="s">
        <v>137</v>
      </c>
      <c r="E273" s="370" t="s">
        <v>1271</v>
      </c>
      <c r="F273" s="377">
        <v>757624.77</v>
      </c>
      <c r="G273" s="378">
        <v>25</v>
      </c>
      <c r="H273" s="371">
        <v>812611.90999999992</v>
      </c>
      <c r="I273" s="370">
        <v>25</v>
      </c>
      <c r="J273" s="372">
        <v>751192.9</v>
      </c>
      <c r="K273" s="373">
        <v>25</v>
      </c>
      <c r="L273" s="374">
        <v>839756.08000000007</v>
      </c>
      <c r="M273" s="372">
        <v>25</v>
      </c>
      <c r="N273" s="372">
        <v>693101.44</v>
      </c>
      <c r="O273" s="372">
        <v>652630.17999999993</v>
      </c>
      <c r="P273" s="369">
        <v>714089.51</v>
      </c>
      <c r="Q273" s="369">
        <v>64523.330000000075</v>
      </c>
    </row>
    <row r="274" spans="1:17" ht="12" customHeight="1">
      <c r="A274" s="93"/>
      <c r="B274" s="362" t="s">
        <v>744</v>
      </c>
      <c r="C274" s="363" t="s">
        <v>1274</v>
      </c>
      <c r="D274" s="363" t="s">
        <v>148</v>
      </c>
      <c r="E274" s="364" t="s">
        <v>1271</v>
      </c>
      <c r="F274" s="365">
        <v>1117079.6499999999</v>
      </c>
      <c r="G274" s="364">
        <v>20</v>
      </c>
      <c r="H274" s="365">
        <v>1021519.89</v>
      </c>
      <c r="I274" s="364">
        <v>20</v>
      </c>
      <c r="J274" s="366">
        <v>881301.05</v>
      </c>
      <c r="K274" s="367">
        <v>20</v>
      </c>
      <c r="L274" s="368">
        <v>836982.61</v>
      </c>
      <c r="M274" s="366">
        <v>20</v>
      </c>
      <c r="N274" s="366">
        <v>877989.31</v>
      </c>
      <c r="O274" s="366">
        <v>975545.63</v>
      </c>
      <c r="P274" s="362">
        <v>1108406.75</v>
      </c>
      <c r="Q274" s="363">
        <v>239090.33999999985</v>
      </c>
    </row>
    <row r="275" spans="1:17" ht="12" customHeight="1">
      <c r="A275" s="93"/>
      <c r="B275" s="369" t="s">
        <v>746</v>
      </c>
      <c r="C275" s="369" t="s">
        <v>1272</v>
      </c>
      <c r="D275" s="369" t="s">
        <v>146</v>
      </c>
      <c r="E275" s="370" t="s">
        <v>1273</v>
      </c>
      <c r="F275" s="377">
        <v>14165789.08</v>
      </c>
      <c r="G275" s="378">
        <v>90</v>
      </c>
      <c r="H275" s="371">
        <v>14712157.59</v>
      </c>
      <c r="I275" s="370">
        <v>90</v>
      </c>
      <c r="J275" s="372">
        <v>14764179.739999998</v>
      </c>
      <c r="K275" s="373">
        <v>90</v>
      </c>
      <c r="L275" s="374">
        <v>14758532.66</v>
      </c>
      <c r="M275" s="372">
        <v>90</v>
      </c>
      <c r="N275" s="372">
        <v>13554759.51</v>
      </c>
      <c r="O275" s="372">
        <v>13727219.439999999</v>
      </c>
      <c r="P275" s="369">
        <v>13679201.890000001</v>
      </c>
      <c r="Q275" s="369">
        <v>611029.5700000003</v>
      </c>
    </row>
    <row r="276" spans="1:17" ht="12" customHeight="1">
      <c r="A276" s="93"/>
      <c r="B276" s="362" t="s">
        <v>748</v>
      </c>
      <c r="C276" s="363" t="s">
        <v>1274</v>
      </c>
      <c r="D276" s="363" t="s">
        <v>105</v>
      </c>
      <c r="E276" s="364" t="s">
        <v>1271</v>
      </c>
      <c r="F276" s="365">
        <v>1264453.54</v>
      </c>
      <c r="G276" s="364">
        <v>32</v>
      </c>
      <c r="H276" s="365">
        <v>997178.99</v>
      </c>
      <c r="I276" s="364">
        <v>32</v>
      </c>
      <c r="J276" s="366">
        <v>997973.97</v>
      </c>
      <c r="K276" s="367">
        <v>32</v>
      </c>
      <c r="L276" s="368">
        <v>946969.79</v>
      </c>
      <c r="M276" s="366">
        <v>32</v>
      </c>
      <c r="N276" s="366">
        <v>1001298.14</v>
      </c>
      <c r="O276" s="366">
        <v>1007814.87</v>
      </c>
      <c r="P276" s="362">
        <v>1059240.1200000001</v>
      </c>
      <c r="Q276" s="363">
        <v>263155.40000000002</v>
      </c>
    </row>
    <row r="277" spans="1:17" ht="12" customHeight="1">
      <c r="A277" s="93"/>
      <c r="B277" s="369" t="s">
        <v>750</v>
      </c>
      <c r="C277" s="369" t="s">
        <v>1272</v>
      </c>
      <c r="D277" s="369" t="s">
        <v>109</v>
      </c>
      <c r="E277" s="370" t="s">
        <v>1273</v>
      </c>
      <c r="F277" s="377">
        <v>3693499.59</v>
      </c>
      <c r="G277" s="378">
        <v>48</v>
      </c>
      <c r="H277" s="371">
        <v>4087924.6000000006</v>
      </c>
      <c r="I277" s="370">
        <v>48</v>
      </c>
      <c r="J277" s="372">
        <v>4487474.09</v>
      </c>
      <c r="K277" s="373">
        <v>48</v>
      </c>
      <c r="L277" s="374">
        <v>3886379.6500000004</v>
      </c>
      <c r="M277" s="372">
        <v>48</v>
      </c>
      <c r="N277" s="372">
        <v>4281371.6399999997</v>
      </c>
      <c r="O277" s="372">
        <v>4485780.4800000004</v>
      </c>
      <c r="P277" s="369">
        <v>4664538.92</v>
      </c>
      <c r="Q277" s="369">
        <v>-587872.04999999981</v>
      </c>
    </row>
    <row r="278" spans="1:17" ht="12" customHeight="1">
      <c r="A278" s="93"/>
      <c r="B278" s="362" t="s">
        <v>752</v>
      </c>
      <c r="C278" s="363" t="s">
        <v>1274</v>
      </c>
      <c r="D278" s="363" t="s">
        <v>148</v>
      </c>
      <c r="E278" s="364" t="s">
        <v>1273</v>
      </c>
      <c r="F278" s="365">
        <v>12245961.48</v>
      </c>
      <c r="G278" s="364">
        <v>75</v>
      </c>
      <c r="H278" s="365">
        <v>11579263.129999999</v>
      </c>
      <c r="I278" s="364">
        <v>75</v>
      </c>
      <c r="J278" s="366">
        <v>9996536.7899999991</v>
      </c>
      <c r="K278" s="367">
        <v>75</v>
      </c>
      <c r="L278" s="368">
        <v>10019344.600000001</v>
      </c>
      <c r="M278" s="366">
        <v>75</v>
      </c>
      <c r="N278" s="366">
        <v>10625752.120000001</v>
      </c>
      <c r="O278" s="366">
        <v>9701614.5100000016</v>
      </c>
      <c r="P278" s="362">
        <v>10061406.969999999</v>
      </c>
      <c r="Q278" s="363">
        <v>1620209.3599999994</v>
      </c>
    </row>
    <row r="279" spans="1:17" ht="12" customHeight="1">
      <c r="A279" s="93"/>
      <c r="B279" s="369" t="s">
        <v>754</v>
      </c>
      <c r="C279" s="369" t="s">
        <v>1274</v>
      </c>
      <c r="D279" s="369" t="s">
        <v>148</v>
      </c>
      <c r="E279" s="370" t="s">
        <v>1271</v>
      </c>
      <c r="F279" s="377">
        <v>550168.74</v>
      </c>
      <c r="G279" s="378">
        <v>20</v>
      </c>
      <c r="H279" s="371">
        <v>432286.38</v>
      </c>
      <c r="I279" s="370">
        <v>20</v>
      </c>
      <c r="J279" s="372">
        <v>415056.49</v>
      </c>
      <c r="K279" s="373">
        <v>20</v>
      </c>
      <c r="L279" s="374">
        <v>496767.25</v>
      </c>
      <c r="M279" s="372">
        <v>20</v>
      </c>
      <c r="N279" s="372">
        <v>547026.31000000006</v>
      </c>
      <c r="O279" s="372">
        <v>488574.56</v>
      </c>
      <c r="P279" s="369">
        <v>416717.6</v>
      </c>
      <c r="Q279" s="369">
        <v>3142.4299999999348</v>
      </c>
    </row>
    <row r="280" spans="1:17" ht="12" customHeight="1">
      <c r="A280" s="93"/>
      <c r="B280" s="362" t="s">
        <v>758</v>
      </c>
      <c r="C280" s="363" t="s">
        <v>1274</v>
      </c>
      <c r="D280" s="363" t="s">
        <v>148</v>
      </c>
      <c r="E280" s="364" t="s">
        <v>1271</v>
      </c>
      <c r="F280" s="365">
        <v>4420807.62</v>
      </c>
      <c r="G280" s="364">
        <v>45</v>
      </c>
      <c r="H280" s="365">
        <v>3847899.8499999996</v>
      </c>
      <c r="I280" s="364">
        <v>45</v>
      </c>
      <c r="J280" s="366">
        <v>3694559.62</v>
      </c>
      <c r="K280" s="367">
        <v>45</v>
      </c>
      <c r="L280" s="368">
        <v>3860411.4699999997</v>
      </c>
      <c r="M280" s="366">
        <v>45</v>
      </c>
      <c r="N280" s="366">
        <v>3233817.1399999997</v>
      </c>
      <c r="O280" s="366">
        <v>3252415.05</v>
      </c>
      <c r="P280" s="362">
        <v>3375149.38</v>
      </c>
      <c r="Q280" s="363">
        <v>1186990.4800000004</v>
      </c>
    </row>
    <row r="281" spans="1:17" ht="12" customHeight="1">
      <c r="A281" s="93"/>
      <c r="B281" s="369" t="s">
        <v>1302</v>
      </c>
      <c r="C281" s="369" t="s">
        <v>1274</v>
      </c>
      <c r="D281" s="369" t="s">
        <v>148</v>
      </c>
      <c r="E281" s="370" t="s">
        <v>1271</v>
      </c>
      <c r="F281" s="377">
        <v>7234773.1899999995</v>
      </c>
      <c r="G281" s="378">
        <v>67</v>
      </c>
      <c r="H281" s="371">
        <v>7046283.5800000001</v>
      </c>
      <c r="I281" s="370">
        <v>67</v>
      </c>
      <c r="J281" s="372">
        <v>6899851.04</v>
      </c>
      <c r="K281" s="373">
        <v>67</v>
      </c>
      <c r="L281" s="374">
        <v>6708868.7000000002</v>
      </c>
      <c r="M281" s="372">
        <v>67</v>
      </c>
      <c r="N281" s="372">
        <v>6427040.1600000001</v>
      </c>
      <c r="O281" s="372">
        <v>6356571.9100000001</v>
      </c>
      <c r="P281" s="369">
        <v>6146753.3099999996</v>
      </c>
      <c r="Q281" s="369">
        <v>807733.02999999933</v>
      </c>
    </row>
    <row r="282" spans="1:17" ht="12" customHeight="1">
      <c r="A282" s="93"/>
      <c r="B282" s="362" t="s">
        <v>762</v>
      </c>
      <c r="C282" s="363" t="s">
        <v>1272</v>
      </c>
      <c r="D282" s="363" t="s">
        <v>133</v>
      </c>
      <c r="E282" s="364" t="s">
        <v>1273</v>
      </c>
      <c r="F282" s="365">
        <v>13225197.57</v>
      </c>
      <c r="G282" s="364">
        <v>70</v>
      </c>
      <c r="H282" s="365">
        <v>12971824.689999999</v>
      </c>
      <c r="I282" s="364">
        <v>70</v>
      </c>
      <c r="J282" s="366">
        <v>12624397.530000001</v>
      </c>
      <c r="K282" s="367">
        <v>70</v>
      </c>
      <c r="L282" s="368">
        <v>12294163.66</v>
      </c>
      <c r="M282" s="366">
        <v>70</v>
      </c>
      <c r="N282" s="366">
        <v>13276880.940000001</v>
      </c>
      <c r="O282" s="366">
        <v>14007760.99</v>
      </c>
      <c r="P282" s="362">
        <v>14243496.1</v>
      </c>
      <c r="Q282" s="363">
        <v>-51683.370000001043</v>
      </c>
    </row>
    <row r="283" spans="1:17" ht="12" customHeight="1">
      <c r="A283" s="93"/>
      <c r="B283" s="369" t="s">
        <v>1303</v>
      </c>
      <c r="C283" s="369" t="s">
        <v>1274</v>
      </c>
      <c r="D283" s="369" t="s">
        <v>105</v>
      </c>
      <c r="E283" s="370" t="s">
        <v>1273</v>
      </c>
      <c r="F283" s="377">
        <v>669977.55000000005</v>
      </c>
      <c r="G283" s="378">
        <v>0</v>
      </c>
      <c r="H283" s="371">
        <v>1140424.8600000001</v>
      </c>
      <c r="I283" s="370">
        <v>24</v>
      </c>
      <c r="J283" s="372">
        <v>1497218.94</v>
      </c>
      <c r="K283" s="373">
        <v>30</v>
      </c>
      <c r="L283" s="374">
        <v>1474418.4300000002</v>
      </c>
      <c r="M283" s="372">
        <v>30</v>
      </c>
      <c r="N283" s="372">
        <v>1269174.1499999999</v>
      </c>
      <c r="O283" s="372">
        <v>1138267.52</v>
      </c>
      <c r="P283" s="369">
        <v>0</v>
      </c>
      <c r="Q283" s="369">
        <v>-599196.59999999986</v>
      </c>
    </row>
    <row r="284" spans="1:17" ht="12" customHeight="1">
      <c r="A284" s="93"/>
      <c r="B284" s="362" t="s">
        <v>764</v>
      </c>
      <c r="C284" s="363" t="s">
        <v>1272</v>
      </c>
      <c r="D284" s="363" t="s">
        <v>38</v>
      </c>
      <c r="E284" s="364" t="s">
        <v>1273</v>
      </c>
      <c r="F284" s="365">
        <v>7057693.2000000002</v>
      </c>
      <c r="G284" s="364">
        <v>60</v>
      </c>
      <c r="H284" s="365">
        <v>7169642.7200000007</v>
      </c>
      <c r="I284" s="364">
        <v>60</v>
      </c>
      <c r="J284" s="366">
        <v>6767848.1999999993</v>
      </c>
      <c r="K284" s="367">
        <v>60</v>
      </c>
      <c r="L284" s="368">
        <v>7372156.0800000001</v>
      </c>
      <c r="M284" s="366">
        <v>56</v>
      </c>
      <c r="N284" s="366">
        <v>7181781.8700000001</v>
      </c>
      <c r="O284" s="366">
        <v>6659585.2199999997</v>
      </c>
      <c r="P284" s="362">
        <v>6728845.2300000004</v>
      </c>
      <c r="Q284" s="363">
        <v>-124088.66999999993</v>
      </c>
    </row>
    <row r="285" spans="1:17" ht="12" customHeight="1">
      <c r="A285" s="93"/>
      <c r="B285" s="369" t="s">
        <v>768</v>
      </c>
      <c r="C285" s="369" t="s">
        <v>1274</v>
      </c>
      <c r="D285" s="369" t="s">
        <v>121</v>
      </c>
      <c r="E285" s="370" t="s">
        <v>1273</v>
      </c>
      <c r="F285" s="377">
        <v>1557429.58</v>
      </c>
      <c r="G285" s="378">
        <v>16</v>
      </c>
      <c r="H285" s="371">
        <v>1485056.7</v>
      </c>
      <c r="I285" s="370">
        <v>16</v>
      </c>
      <c r="J285" s="372">
        <v>1390338.57</v>
      </c>
      <c r="K285" s="373">
        <v>16</v>
      </c>
      <c r="L285" s="374">
        <v>1363266.55</v>
      </c>
      <c r="M285" s="372">
        <v>16</v>
      </c>
      <c r="N285" s="372">
        <v>1047497.28</v>
      </c>
      <c r="O285" s="372">
        <v>1422545.94</v>
      </c>
      <c r="P285" s="369">
        <v>1418951.97</v>
      </c>
      <c r="Q285" s="369">
        <v>509932.30000000005</v>
      </c>
    </row>
    <row r="286" spans="1:17" ht="12" customHeight="1">
      <c r="A286" s="93"/>
      <c r="B286" s="362" t="s">
        <v>770</v>
      </c>
      <c r="C286" s="363" t="s">
        <v>1274</v>
      </c>
      <c r="D286" s="363" t="s">
        <v>139</v>
      </c>
      <c r="E286" s="364" t="s">
        <v>1273</v>
      </c>
      <c r="F286" s="365">
        <v>1440136.48</v>
      </c>
      <c r="G286" s="364">
        <v>22</v>
      </c>
      <c r="H286" s="365">
        <v>1321001.29</v>
      </c>
      <c r="I286" s="364">
        <v>22</v>
      </c>
      <c r="J286" s="366">
        <v>1067235.3700000001</v>
      </c>
      <c r="K286" s="367">
        <v>22</v>
      </c>
      <c r="L286" s="368">
        <v>1319642.1400000001</v>
      </c>
      <c r="M286" s="366">
        <v>22</v>
      </c>
      <c r="N286" s="366">
        <v>1256011.5900000001</v>
      </c>
      <c r="O286" s="366">
        <v>1344495.19</v>
      </c>
      <c r="P286" s="362">
        <v>1492498.72</v>
      </c>
      <c r="Q286" s="363">
        <v>184124.8899999999</v>
      </c>
    </row>
    <row r="287" spans="1:17" ht="12" customHeight="1">
      <c r="A287" s="93"/>
      <c r="B287" s="369" t="s">
        <v>772</v>
      </c>
      <c r="C287" s="369" t="s">
        <v>1274</v>
      </c>
      <c r="D287" s="369" t="s">
        <v>139</v>
      </c>
      <c r="E287" s="370" t="s">
        <v>1271</v>
      </c>
      <c r="F287" s="377">
        <v>6800178.8599999994</v>
      </c>
      <c r="G287" s="378">
        <v>75</v>
      </c>
      <c r="H287" s="371">
        <v>6785240.7599999998</v>
      </c>
      <c r="I287" s="370">
        <v>75</v>
      </c>
      <c r="J287" s="372">
        <v>6666577.5</v>
      </c>
      <c r="K287" s="373">
        <v>75</v>
      </c>
      <c r="L287" s="374">
        <v>6894439.0199999996</v>
      </c>
      <c r="M287" s="372">
        <v>75</v>
      </c>
      <c r="N287" s="372">
        <v>7446451.2799999993</v>
      </c>
      <c r="O287" s="372">
        <v>7791633.4100000001</v>
      </c>
      <c r="P287" s="369">
        <v>7887638.7199999997</v>
      </c>
      <c r="Q287" s="369">
        <v>-646272.41999999993</v>
      </c>
    </row>
    <row r="288" spans="1:17" ht="12" customHeight="1">
      <c r="A288" s="93"/>
      <c r="B288" s="362" t="s">
        <v>774</v>
      </c>
      <c r="C288" s="363" t="s">
        <v>1274</v>
      </c>
      <c r="D288" s="363" t="s">
        <v>139</v>
      </c>
      <c r="E288" s="364" t="s">
        <v>1271</v>
      </c>
      <c r="F288" s="365">
        <v>3722732.41</v>
      </c>
      <c r="G288" s="364">
        <v>45</v>
      </c>
      <c r="H288" s="365">
        <v>3394337.27</v>
      </c>
      <c r="I288" s="364">
        <v>45</v>
      </c>
      <c r="J288" s="366">
        <v>2978200.62</v>
      </c>
      <c r="K288" s="367">
        <v>45</v>
      </c>
      <c r="L288" s="368">
        <v>2631846.54</v>
      </c>
      <c r="M288" s="366">
        <v>45</v>
      </c>
      <c r="N288" s="366">
        <v>2572588.13</v>
      </c>
      <c r="O288" s="366">
        <v>2827895.02</v>
      </c>
      <c r="P288" s="362">
        <v>2786183.11</v>
      </c>
      <c r="Q288" s="363">
        <v>1150144.2800000003</v>
      </c>
    </row>
    <row r="289" spans="1:17" ht="12" customHeight="1">
      <c r="A289" s="93"/>
      <c r="B289" s="369" t="s">
        <v>776</v>
      </c>
      <c r="C289" s="369" t="s">
        <v>1272</v>
      </c>
      <c r="D289" s="369" t="s">
        <v>151</v>
      </c>
      <c r="E289" s="370" t="s">
        <v>1273</v>
      </c>
      <c r="F289" s="377">
        <v>5807484.5600000005</v>
      </c>
      <c r="G289" s="378">
        <v>44</v>
      </c>
      <c r="H289" s="371">
        <v>5740922.9500000002</v>
      </c>
      <c r="I289" s="370">
        <v>44</v>
      </c>
      <c r="J289" s="372">
        <v>5573658.5299999993</v>
      </c>
      <c r="K289" s="373">
        <v>44</v>
      </c>
      <c r="L289" s="374">
        <v>5311513.67</v>
      </c>
      <c r="M289" s="372">
        <v>44</v>
      </c>
      <c r="N289" s="372">
        <v>5862946.4800000004</v>
      </c>
      <c r="O289" s="372">
        <v>5800199.8399999999</v>
      </c>
      <c r="P289" s="369">
        <v>5755613.4000000004</v>
      </c>
      <c r="Q289" s="369">
        <v>-55461.919999999925</v>
      </c>
    </row>
    <row r="290" spans="1:17" ht="12" customHeight="1">
      <c r="A290" s="93"/>
      <c r="B290" s="362" t="s">
        <v>778</v>
      </c>
      <c r="C290" s="363" t="s">
        <v>1272</v>
      </c>
      <c r="D290" s="363" t="s">
        <v>177</v>
      </c>
      <c r="E290" s="364" t="s">
        <v>1271</v>
      </c>
      <c r="F290" s="365">
        <v>1668212.18</v>
      </c>
      <c r="G290" s="364">
        <v>30</v>
      </c>
      <c r="H290" s="365">
        <v>1835178.22</v>
      </c>
      <c r="I290" s="364">
        <v>30</v>
      </c>
      <c r="J290" s="366">
        <v>1639626.6099999999</v>
      </c>
      <c r="K290" s="367">
        <v>30</v>
      </c>
      <c r="L290" s="368">
        <v>1559424.13</v>
      </c>
      <c r="M290" s="366">
        <v>30</v>
      </c>
      <c r="N290" s="366">
        <v>1619140.37</v>
      </c>
      <c r="O290" s="366">
        <v>1621447.33</v>
      </c>
      <c r="P290" s="362">
        <v>1623329.74</v>
      </c>
      <c r="Q290" s="363">
        <v>49071.809999999823</v>
      </c>
    </row>
    <row r="291" spans="1:17" ht="12" customHeight="1">
      <c r="A291" s="93"/>
      <c r="B291" s="369" t="s">
        <v>780</v>
      </c>
      <c r="C291" s="369" t="s">
        <v>1272</v>
      </c>
      <c r="D291" s="369" t="s">
        <v>106</v>
      </c>
      <c r="E291" s="370" t="s">
        <v>1271</v>
      </c>
      <c r="F291" s="377">
        <v>1812709.97</v>
      </c>
      <c r="G291" s="378">
        <v>50</v>
      </c>
      <c r="H291" s="371">
        <v>1943886.24</v>
      </c>
      <c r="I291" s="370">
        <v>50</v>
      </c>
      <c r="J291" s="372">
        <v>1640503.92</v>
      </c>
      <c r="K291" s="373">
        <v>50</v>
      </c>
      <c r="L291" s="374">
        <v>1686585.03</v>
      </c>
      <c r="M291" s="372">
        <v>50</v>
      </c>
      <c r="N291" s="372">
        <v>1460456.2599999998</v>
      </c>
      <c r="O291" s="372">
        <v>1560299.79</v>
      </c>
      <c r="P291" s="369">
        <v>1421764.06</v>
      </c>
      <c r="Q291" s="369">
        <v>352253.7100000002</v>
      </c>
    </row>
    <row r="292" spans="1:17" ht="12" customHeight="1">
      <c r="A292" s="93"/>
      <c r="B292" s="362" t="s">
        <v>1304</v>
      </c>
      <c r="C292" s="363" t="s">
        <v>1272</v>
      </c>
      <c r="D292" s="363" t="s">
        <v>152</v>
      </c>
      <c r="E292" s="364" t="s">
        <v>1271</v>
      </c>
      <c r="F292" s="365">
        <v>2683764.58</v>
      </c>
      <c r="G292" s="364">
        <v>50</v>
      </c>
      <c r="H292" s="365">
        <v>2753139.1</v>
      </c>
      <c r="I292" s="364">
        <v>50</v>
      </c>
      <c r="J292" s="366">
        <v>2734663.66</v>
      </c>
      <c r="K292" s="367">
        <v>50</v>
      </c>
      <c r="L292" s="368">
        <v>2370423.37</v>
      </c>
      <c r="M292" s="366">
        <v>50</v>
      </c>
      <c r="N292" s="366">
        <v>2162003.92</v>
      </c>
      <c r="O292" s="366">
        <v>1896648.2999999998</v>
      </c>
      <c r="P292" s="362">
        <v>1796095.83</v>
      </c>
      <c r="Q292" s="363">
        <v>521760.66000000015</v>
      </c>
    </row>
    <row r="293" spans="1:17" ht="12" customHeight="1">
      <c r="A293" s="93"/>
      <c r="B293" s="369" t="s">
        <v>782</v>
      </c>
      <c r="C293" s="369" t="s">
        <v>1272</v>
      </c>
      <c r="D293" s="369" t="s">
        <v>152</v>
      </c>
      <c r="E293" s="370" t="s">
        <v>1271</v>
      </c>
      <c r="F293" s="377">
        <v>4113929.67</v>
      </c>
      <c r="G293" s="378">
        <v>105</v>
      </c>
      <c r="H293" s="371">
        <v>5007754.0500000007</v>
      </c>
      <c r="I293" s="370">
        <v>105</v>
      </c>
      <c r="J293" s="372">
        <v>5320933.38</v>
      </c>
      <c r="K293" s="373">
        <v>105</v>
      </c>
      <c r="L293" s="374">
        <v>5239831.84</v>
      </c>
      <c r="M293" s="372">
        <v>105</v>
      </c>
      <c r="N293" s="372">
        <v>5050749.8000000007</v>
      </c>
      <c r="O293" s="372">
        <v>5403738.5499999998</v>
      </c>
      <c r="P293" s="369">
        <v>5720481.4900000002</v>
      </c>
      <c r="Q293" s="369">
        <v>-936820.13000000082</v>
      </c>
    </row>
    <row r="294" spans="1:17" ht="12" customHeight="1">
      <c r="A294" s="93"/>
      <c r="B294" s="362" t="s">
        <v>784</v>
      </c>
      <c r="C294" s="363" t="s">
        <v>1274</v>
      </c>
      <c r="D294" s="363" t="s">
        <v>130</v>
      </c>
      <c r="E294" s="364" t="s">
        <v>1271</v>
      </c>
      <c r="F294" s="365">
        <v>2633709.06</v>
      </c>
      <c r="G294" s="364">
        <v>40</v>
      </c>
      <c r="H294" s="365">
        <v>2906818.01</v>
      </c>
      <c r="I294" s="364">
        <v>40</v>
      </c>
      <c r="J294" s="366">
        <v>3016799.91</v>
      </c>
      <c r="K294" s="367">
        <v>40</v>
      </c>
      <c r="L294" s="368">
        <v>3087408.95</v>
      </c>
      <c r="M294" s="366">
        <v>40</v>
      </c>
      <c r="N294" s="366">
        <v>3243031.36</v>
      </c>
      <c r="O294" s="366">
        <v>2940597.66</v>
      </c>
      <c r="P294" s="362">
        <v>3110662.93</v>
      </c>
      <c r="Q294" s="363">
        <v>-609322.29999999981</v>
      </c>
    </row>
    <row r="295" spans="1:17" ht="12" customHeight="1">
      <c r="A295" s="93"/>
      <c r="B295" s="369" t="s">
        <v>786</v>
      </c>
      <c r="C295" s="369" t="s">
        <v>1272</v>
      </c>
      <c r="D295" s="369" t="s">
        <v>137</v>
      </c>
      <c r="E295" s="370" t="s">
        <v>1271</v>
      </c>
      <c r="F295" s="377">
        <v>5233850.76</v>
      </c>
      <c r="G295" s="378">
        <v>82</v>
      </c>
      <c r="H295" s="371">
        <v>5344008.7100000009</v>
      </c>
      <c r="I295" s="370">
        <v>82</v>
      </c>
      <c r="J295" s="372">
        <v>5364950.3499999996</v>
      </c>
      <c r="K295" s="373">
        <v>82</v>
      </c>
      <c r="L295" s="374">
        <v>5682078.3399999999</v>
      </c>
      <c r="M295" s="372">
        <v>82</v>
      </c>
      <c r="N295" s="372">
        <v>6151277.3900000006</v>
      </c>
      <c r="O295" s="372">
        <v>6370702.7300000004</v>
      </c>
      <c r="P295" s="369">
        <v>6245381.9399999995</v>
      </c>
      <c r="Q295" s="369">
        <v>-917426.63000000082</v>
      </c>
    </row>
    <row r="296" spans="1:17" ht="12" customHeight="1">
      <c r="A296" s="93"/>
      <c r="B296" s="362" t="s">
        <v>788</v>
      </c>
      <c r="C296" s="363" t="s">
        <v>1272</v>
      </c>
      <c r="D296" s="363" t="s">
        <v>154</v>
      </c>
      <c r="E296" s="364" t="s">
        <v>1273</v>
      </c>
      <c r="F296" s="365">
        <v>8022465.5800000001</v>
      </c>
      <c r="G296" s="364">
        <v>70</v>
      </c>
      <c r="H296" s="365">
        <v>8308292.4399999995</v>
      </c>
      <c r="I296" s="364">
        <v>70</v>
      </c>
      <c r="J296" s="366">
        <v>8591713.2599999998</v>
      </c>
      <c r="K296" s="367">
        <v>70</v>
      </c>
      <c r="L296" s="368">
        <v>9060975.3399999999</v>
      </c>
      <c r="M296" s="366">
        <v>70</v>
      </c>
      <c r="N296" s="366">
        <v>8810770.4800000004</v>
      </c>
      <c r="O296" s="366">
        <v>9118231.1999999993</v>
      </c>
      <c r="P296" s="362">
        <v>9441105.1400000006</v>
      </c>
      <c r="Q296" s="363">
        <v>-788304.90000000037</v>
      </c>
    </row>
    <row r="297" spans="1:17" ht="12" customHeight="1">
      <c r="A297" s="93"/>
      <c r="B297" s="369" t="s">
        <v>790</v>
      </c>
      <c r="C297" s="369" t="s">
        <v>1272</v>
      </c>
      <c r="D297" s="369" t="s">
        <v>155</v>
      </c>
      <c r="E297" s="370" t="s">
        <v>1273</v>
      </c>
      <c r="F297" s="377">
        <v>2471638.1399999997</v>
      </c>
      <c r="G297" s="378">
        <v>30</v>
      </c>
      <c r="H297" s="371">
        <v>2205871.79</v>
      </c>
      <c r="I297" s="370">
        <v>23</v>
      </c>
      <c r="J297" s="372">
        <v>2308496.04</v>
      </c>
      <c r="K297" s="373">
        <v>23</v>
      </c>
      <c r="L297" s="374">
        <v>2344148.5300000003</v>
      </c>
      <c r="M297" s="372">
        <v>23</v>
      </c>
      <c r="N297" s="372">
        <v>2159684.8600000003</v>
      </c>
      <c r="O297" s="372">
        <v>1856971.01</v>
      </c>
      <c r="P297" s="369">
        <v>1751831.9</v>
      </c>
      <c r="Q297" s="369">
        <v>311953.27999999933</v>
      </c>
    </row>
    <row r="298" spans="1:17" ht="12" customHeight="1">
      <c r="A298" s="93"/>
      <c r="B298" s="362" t="s">
        <v>792</v>
      </c>
      <c r="C298" s="363" t="s">
        <v>1274</v>
      </c>
      <c r="D298" s="363" t="s">
        <v>139</v>
      </c>
      <c r="E298" s="364" t="s">
        <v>1271</v>
      </c>
      <c r="F298" s="365">
        <v>5519101.79</v>
      </c>
      <c r="G298" s="364">
        <v>69</v>
      </c>
      <c r="H298" s="365">
        <v>5527086.8800000008</v>
      </c>
      <c r="I298" s="364">
        <v>69</v>
      </c>
      <c r="J298" s="366">
        <v>6088556.5999999996</v>
      </c>
      <c r="K298" s="367">
        <v>69</v>
      </c>
      <c r="L298" s="368">
        <v>6469521.7799999993</v>
      </c>
      <c r="M298" s="366">
        <v>69</v>
      </c>
      <c r="N298" s="366">
        <v>6383813.5800000001</v>
      </c>
      <c r="O298" s="366">
        <v>5903740.8599999994</v>
      </c>
      <c r="P298" s="362">
        <v>5652932.4700000007</v>
      </c>
      <c r="Q298" s="363">
        <v>-864711.79</v>
      </c>
    </row>
    <row r="299" spans="1:17" ht="12" customHeight="1">
      <c r="A299" s="93"/>
      <c r="B299" s="369" t="s">
        <v>794</v>
      </c>
      <c r="C299" s="369" t="s">
        <v>1274</v>
      </c>
      <c r="D299" s="369" t="s">
        <v>139</v>
      </c>
      <c r="E299" s="370" t="s">
        <v>1271</v>
      </c>
      <c r="F299" s="377">
        <v>1626668.3900000001</v>
      </c>
      <c r="G299" s="378">
        <v>35</v>
      </c>
      <c r="H299" s="371">
        <v>1738344.73</v>
      </c>
      <c r="I299" s="370">
        <v>35</v>
      </c>
      <c r="J299" s="372">
        <v>1694840.06</v>
      </c>
      <c r="K299" s="373">
        <v>35</v>
      </c>
      <c r="L299" s="374">
        <v>1632416.75</v>
      </c>
      <c r="M299" s="372">
        <v>35</v>
      </c>
      <c r="N299" s="372">
        <v>1639811.77</v>
      </c>
      <c r="O299" s="372">
        <v>1769595.7000000002</v>
      </c>
      <c r="P299" s="369">
        <v>1739231.56</v>
      </c>
      <c r="Q299" s="369">
        <v>-13143.379999999888</v>
      </c>
    </row>
    <row r="300" spans="1:17" ht="12" customHeight="1">
      <c r="A300" s="93"/>
      <c r="B300" s="362" t="s">
        <v>796</v>
      </c>
      <c r="C300" s="363" t="s">
        <v>1274</v>
      </c>
      <c r="D300" s="363" t="s">
        <v>139</v>
      </c>
      <c r="E300" s="364" t="s">
        <v>1273</v>
      </c>
      <c r="F300" s="365">
        <v>1831646.54</v>
      </c>
      <c r="G300" s="364">
        <v>15</v>
      </c>
      <c r="H300" s="365">
        <v>1698056.42</v>
      </c>
      <c r="I300" s="364">
        <v>15</v>
      </c>
      <c r="J300" s="366">
        <v>1687365.26</v>
      </c>
      <c r="K300" s="367">
        <v>15</v>
      </c>
      <c r="L300" s="368">
        <v>1746532.24</v>
      </c>
      <c r="M300" s="366">
        <v>15</v>
      </c>
      <c r="N300" s="366">
        <v>1691792.22</v>
      </c>
      <c r="O300" s="366">
        <v>1751491.3399999999</v>
      </c>
      <c r="P300" s="362">
        <v>1839791.6</v>
      </c>
      <c r="Q300" s="363">
        <v>139854.32000000007</v>
      </c>
    </row>
    <row r="301" spans="1:17" ht="12" customHeight="1">
      <c r="A301" s="93"/>
      <c r="B301" s="369" t="s">
        <v>798</v>
      </c>
      <c r="C301" s="369" t="s">
        <v>1274</v>
      </c>
      <c r="D301" s="369" t="s">
        <v>139</v>
      </c>
      <c r="E301" s="370" t="s">
        <v>1271</v>
      </c>
      <c r="F301" s="377">
        <v>3816420.84</v>
      </c>
      <c r="G301" s="378">
        <v>46</v>
      </c>
      <c r="H301" s="371">
        <v>3494145.5700000003</v>
      </c>
      <c r="I301" s="370">
        <v>46</v>
      </c>
      <c r="J301" s="372">
        <v>3425398.6900000004</v>
      </c>
      <c r="K301" s="373">
        <v>46</v>
      </c>
      <c r="L301" s="374">
        <v>3167488.92</v>
      </c>
      <c r="M301" s="372">
        <v>46</v>
      </c>
      <c r="N301" s="372">
        <v>3271456.67</v>
      </c>
      <c r="O301" s="372">
        <v>3257122.4</v>
      </c>
      <c r="P301" s="369">
        <v>3179696.81</v>
      </c>
      <c r="Q301" s="369">
        <v>544964.16999999993</v>
      </c>
    </row>
    <row r="302" spans="1:17" ht="12" customHeight="1">
      <c r="A302" s="93"/>
      <c r="B302" s="362" t="s">
        <v>800</v>
      </c>
      <c r="C302" s="363" t="s">
        <v>1272</v>
      </c>
      <c r="D302" s="363" t="s">
        <v>116</v>
      </c>
      <c r="E302" s="364" t="s">
        <v>1273</v>
      </c>
      <c r="F302" s="365">
        <v>11214479.940000001</v>
      </c>
      <c r="G302" s="364">
        <v>70</v>
      </c>
      <c r="H302" s="365">
        <v>11458751.539999999</v>
      </c>
      <c r="I302" s="364">
        <v>70</v>
      </c>
      <c r="J302" s="366">
        <v>11658616.050000001</v>
      </c>
      <c r="K302" s="367">
        <v>70</v>
      </c>
      <c r="L302" s="368">
        <v>11607283.33</v>
      </c>
      <c r="M302" s="366">
        <v>70</v>
      </c>
      <c r="N302" s="366">
        <v>11192333.140000001</v>
      </c>
      <c r="O302" s="366">
        <v>10939163.27</v>
      </c>
      <c r="P302" s="362">
        <v>11950657</v>
      </c>
      <c r="Q302" s="363">
        <v>22146.800000000745</v>
      </c>
    </row>
    <row r="303" spans="1:17" ht="12" customHeight="1">
      <c r="A303" s="93"/>
      <c r="B303" s="369" t="s">
        <v>804</v>
      </c>
      <c r="C303" s="369" t="s">
        <v>1272</v>
      </c>
      <c r="D303" s="369" t="s">
        <v>151</v>
      </c>
      <c r="E303" s="370" t="s">
        <v>1273</v>
      </c>
      <c r="F303" s="377">
        <v>7692381.3399999999</v>
      </c>
      <c r="G303" s="378">
        <v>62</v>
      </c>
      <c r="H303" s="371">
        <v>8057467.4100000001</v>
      </c>
      <c r="I303" s="370">
        <v>62</v>
      </c>
      <c r="J303" s="372">
        <v>7741485.0499999998</v>
      </c>
      <c r="K303" s="373">
        <v>62</v>
      </c>
      <c r="L303" s="374">
        <v>8423579.3599999994</v>
      </c>
      <c r="M303" s="372">
        <v>62</v>
      </c>
      <c r="N303" s="372">
        <v>8639132.4199999999</v>
      </c>
      <c r="O303" s="372">
        <v>8928610.9600000009</v>
      </c>
      <c r="P303" s="369">
        <v>9069269.9699999988</v>
      </c>
      <c r="Q303" s="369">
        <v>-946751.08000000007</v>
      </c>
    </row>
    <row r="304" spans="1:17" ht="12" customHeight="1">
      <c r="A304" s="93"/>
      <c r="B304" s="362" t="s">
        <v>806</v>
      </c>
      <c r="C304" s="363" t="s">
        <v>1272</v>
      </c>
      <c r="D304" s="363" t="s">
        <v>151</v>
      </c>
      <c r="E304" s="364" t="s">
        <v>1271</v>
      </c>
      <c r="F304" s="365">
        <v>11606742.220000001</v>
      </c>
      <c r="G304" s="364">
        <v>105</v>
      </c>
      <c r="H304" s="365">
        <v>12306356.43</v>
      </c>
      <c r="I304" s="364">
        <v>105</v>
      </c>
      <c r="J304" s="366">
        <v>12168243.77</v>
      </c>
      <c r="K304" s="367">
        <v>105</v>
      </c>
      <c r="L304" s="368">
        <v>12853052.41</v>
      </c>
      <c r="M304" s="366">
        <v>105</v>
      </c>
      <c r="N304" s="366">
        <v>12717412.75</v>
      </c>
      <c r="O304" s="366">
        <v>11475604.08</v>
      </c>
      <c r="P304" s="362">
        <v>11344825.09</v>
      </c>
      <c r="Q304" s="363">
        <v>-1110670.5299999993</v>
      </c>
    </row>
    <row r="305" spans="1:17" ht="12" customHeight="1">
      <c r="A305" s="93"/>
      <c r="B305" s="369" t="s">
        <v>1418</v>
      </c>
      <c r="C305" s="369" t="s">
        <v>1272</v>
      </c>
      <c r="D305" s="369" t="s">
        <v>152</v>
      </c>
      <c r="E305" s="370" t="s">
        <v>1271</v>
      </c>
      <c r="F305" s="377">
        <v>5384390.6400000006</v>
      </c>
      <c r="G305" s="378">
        <v>80</v>
      </c>
      <c r="H305" s="371">
        <v>5233006.4000000004</v>
      </c>
      <c r="I305" s="370">
        <v>80</v>
      </c>
      <c r="J305" s="372">
        <v>565079.57999999996</v>
      </c>
      <c r="K305" s="373">
        <v>80</v>
      </c>
      <c r="L305" s="374"/>
      <c r="M305" s="372"/>
      <c r="N305" s="372"/>
      <c r="O305" s="372"/>
      <c r="P305" s="369"/>
      <c r="Q305" s="369">
        <v>5384390.6400000006</v>
      </c>
    </row>
    <row r="306" spans="1:17" ht="12" customHeight="1">
      <c r="A306" s="93"/>
      <c r="B306" s="362" t="s">
        <v>1432</v>
      </c>
      <c r="C306" s="363" t="s">
        <v>1272</v>
      </c>
      <c r="D306" s="363" t="s">
        <v>151</v>
      </c>
      <c r="E306" s="364" t="s">
        <v>1271</v>
      </c>
      <c r="F306" s="365">
        <v>7738947.2699999996</v>
      </c>
      <c r="G306" s="364">
        <v>92</v>
      </c>
      <c r="H306" s="365">
        <v>7704884.3700000001</v>
      </c>
      <c r="I306" s="364">
        <v>92</v>
      </c>
      <c r="J306" s="366">
        <v>7747207.3399999999</v>
      </c>
      <c r="K306" s="367">
        <v>92</v>
      </c>
      <c r="L306" s="368">
        <v>7636778.8200000003</v>
      </c>
      <c r="M306" s="366">
        <v>92</v>
      </c>
      <c r="N306" s="366">
        <v>7044003.9299999997</v>
      </c>
      <c r="O306" s="366">
        <v>7060627.3100000005</v>
      </c>
      <c r="P306" s="362">
        <v>6853973.4000000004</v>
      </c>
      <c r="Q306" s="363">
        <v>694943.33999999985</v>
      </c>
    </row>
    <row r="307" spans="1:17" ht="12" customHeight="1">
      <c r="B307" s="369" t="s">
        <v>808</v>
      </c>
      <c r="C307" s="369" t="s">
        <v>1274</v>
      </c>
      <c r="D307" s="369" t="s">
        <v>103</v>
      </c>
      <c r="E307" s="370" t="s">
        <v>1271</v>
      </c>
      <c r="F307" s="377">
        <v>1035732.52</v>
      </c>
      <c r="G307" s="378">
        <v>40</v>
      </c>
      <c r="H307" s="371">
        <v>1048379.1399999999</v>
      </c>
      <c r="I307" s="370">
        <v>40</v>
      </c>
      <c r="J307" s="372">
        <v>1117847.29</v>
      </c>
      <c r="K307" s="373">
        <v>40</v>
      </c>
      <c r="L307" s="374">
        <v>1122127.73</v>
      </c>
      <c r="M307" s="372">
        <v>40</v>
      </c>
      <c r="N307" s="372">
        <v>1200746.0299999998</v>
      </c>
      <c r="O307" s="372">
        <v>1191183.1200000001</v>
      </c>
      <c r="P307" s="369">
        <v>1063451.1499999999</v>
      </c>
      <c r="Q307" s="369">
        <v>-165013.50999999978</v>
      </c>
    </row>
    <row r="308" spans="1:17" ht="12" customHeight="1">
      <c r="A308" s="93"/>
      <c r="B308" s="362" t="s">
        <v>810</v>
      </c>
      <c r="C308" s="363" t="s">
        <v>1274</v>
      </c>
      <c r="D308" s="363" t="s">
        <v>36</v>
      </c>
      <c r="E308" s="364" t="s">
        <v>1271</v>
      </c>
      <c r="F308" s="365">
        <v>1483873.79</v>
      </c>
      <c r="G308" s="364">
        <v>32</v>
      </c>
      <c r="H308" s="365">
        <v>1213122.7</v>
      </c>
      <c r="I308" s="364">
        <v>32</v>
      </c>
      <c r="J308" s="366">
        <v>1219972.05</v>
      </c>
      <c r="K308" s="367">
        <v>32</v>
      </c>
      <c r="L308" s="368">
        <v>1294670.47</v>
      </c>
      <c r="M308" s="366">
        <v>32</v>
      </c>
      <c r="N308" s="366">
        <v>1318809.19</v>
      </c>
      <c r="O308" s="366">
        <v>1262300.02</v>
      </c>
      <c r="P308" s="362">
        <v>1208095.79</v>
      </c>
      <c r="Q308" s="363">
        <v>165064.60000000009</v>
      </c>
    </row>
    <row r="309" spans="1:17" ht="12" customHeight="1">
      <c r="A309" s="93"/>
      <c r="B309" s="369" t="s">
        <v>40</v>
      </c>
      <c r="C309" s="369" t="s">
        <v>1272</v>
      </c>
      <c r="D309" s="369" t="s">
        <v>109</v>
      </c>
      <c r="E309" s="370" t="s">
        <v>1273</v>
      </c>
      <c r="F309" s="377">
        <v>1865822.56</v>
      </c>
      <c r="G309" s="378">
        <v>50</v>
      </c>
      <c r="H309" s="371">
        <v>1957654.43</v>
      </c>
      <c r="I309" s="370">
        <v>50</v>
      </c>
      <c r="J309" s="372">
        <v>1325602.3999999999</v>
      </c>
      <c r="K309" s="373">
        <v>50</v>
      </c>
      <c r="L309" s="374">
        <v>1175835.24</v>
      </c>
      <c r="M309" s="372">
        <v>50</v>
      </c>
      <c r="N309" s="372">
        <v>1262924.33</v>
      </c>
      <c r="O309" s="372">
        <v>1069644.23</v>
      </c>
      <c r="P309" s="369">
        <v>804128.11</v>
      </c>
      <c r="Q309" s="369">
        <v>602898.23</v>
      </c>
    </row>
    <row r="310" spans="1:17" ht="12" customHeight="1">
      <c r="A310" s="93"/>
      <c r="B310" s="362" t="s">
        <v>1433</v>
      </c>
      <c r="C310" s="363" t="s">
        <v>1274</v>
      </c>
      <c r="D310" s="363" t="s">
        <v>139</v>
      </c>
      <c r="E310" s="364" t="s">
        <v>1271</v>
      </c>
      <c r="F310" s="365">
        <v>856863.54</v>
      </c>
      <c r="G310" s="364">
        <v>23</v>
      </c>
      <c r="H310" s="365">
        <v>951073.37000000011</v>
      </c>
      <c r="I310" s="364">
        <v>23</v>
      </c>
      <c r="J310" s="366">
        <v>1037020.03</v>
      </c>
      <c r="K310" s="367">
        <v>23</v>
      </c>
      <c r="L310" s="368">
        <v>1168315.96</v>
      </c>
      <c r="M310" s="366">
        <v>23</v>
      </c>
      <c r="N310" s="366">
        <v>1206177.8199999998</v>
      </c>
      <c r="O310" s="366">
        <v>3672167.59</v>
      </c>
      <c r="P310" s="362">
        <v>4121189.38</v>
      </c>
      <c r="Q310" s="363">
        <v>-349314.2799999998</v>
      </c>
    </row>
    <row r="311" spans="1:17" ht="12" customHeight="1">
      <c r="A311" s="93"/>
      <c r="B311" s="369" t="s">
        <v>812</v>
      </c>
      <c r="C311" s="369" t="s">
        <v>1272</v>
      </c>
      <c r="D311" s="369" t="s">
        <v>152</v>
      </c>
      <c r="E311" s="370" t="s">
        <v>1273</v>
      </c>
      <c r="F311" s="377">
        <v>10632448.58</v>
      </c>
      <c r="G311" s="378">
        <v>68</v>
      </c>
      <c r="H311" s="371">
        <v>10554587.15</v>
      </c>
      <c r="I311" s="370">
        <v>67</v>
      </c>
      <c r="J311" s="372">
        <v>10025397</v>
      </c>
      <c r="K311" s="373">
        <v>68</v>
      </c>
      <c r="L311" s="374">
        <v>10353844.460000001</v>
      </c>
      <c r="M311" s="372">
        <v>68</v>
      </c>
      <c r="N311" s="372">
        <v>10470277.68</v>
      </c>
      <c r="O311" s="372">
        <v>9533689.9699999988</v>
      </c>
      <c r="P311" s="369">
        <v>9541591.4600000009</v>
      </c>
      <c r="Q311" s="369">
        <v>162170.90000000037</v>
      </c>
    </row>
    <row r="312" spans="1:17" ht="12" customHeight="1">
      <c r="A312" s="93"/>
      <c r="B312" s="362" t="s">
        <v>814</v>
      </c>
      <c r="C312" s="363" t="s">
        <v>1272</v>
      </c>
      <c r="D312" s="363" t="s">
        <v>128</v>
      </c>
      <c r="E312" s="364" t="s">
        <v>1271</v>
      </c>
      <c r="F312" s="365">
        <v>5649406.3499999996</v>
      </c>
      <c r="G312" s="364">
        <v>50</v>
      </c>
      <c r="H312" s="365">
        <v>6481820.1500000004</v>
      </c>
      <c r="I312" s="364">
        <v>50</v>
      </c>
      <c r="J312" s="366">
        <v>6483818.2400000002</v>
      </c>
      <c r="K312" s="367">
        <v>50</v>
      </c>
      <c r="L312" s="368">
        <v>5881604.8600000003</v>
      </c>
      <c r="M312" s="366">
        <v>50</v>
      </c>
      <c r="N312" s="366">
        <v>5565157.7300000004</v>
      </c>
      <c r="O312" s="366">
        <v>4232618.21</v>
      </c>
      <c r="P312" s="362">
        <v>4248663.3499999996</v>
      </c>
      <c r="Q312" s="363">
        <v>84248.61999999918</v>
      </c>
    </row>
    <row r="313" spans="1:17" ht="12" customHeight="1">
      <c r="A313" s="93"/>
      <c r="B313" s="369" t="s">
        <v>816</v>
      </c>
      <c r="C313" s="369" t="s">
        <v>1272</v>
      </c>
      <c r="D313" s="369" t="s">
        <v>128</v>
      </c>
      <c r="E313" s="370" t="s">
        <v>1271</v>
      </c>
      <c r="F313" s="377">
        <v>3853948.7199999997</v>
      </c>
      <c r="G313" s="378">
        <v>35</v>
      </c>
      <c r="H313" s="371">
        <v>3422831.37</v>
      </c>
      <c r="I313" s="370">
        <v>35</v>
      </c>
      <c r="J313" s="372">
        <v>3185635.4</v>
      </c>
      <c r="K313" s="373">
        <v>35</v>
      </c>
      <c r="L313" s="374">
        <v>3121970.81</v>
      </c>
      <c r="M313" s="372">
        <v>35</v>
      </c>
      <c r="N313" s="372">
        <v>2961173.34</v>
      </c>
      <c r="O313" s="372">
        <v>2668798.2400000002</v>
      </c>
      <c r="P313" s="369">
        <v>2730131.21</v>
      </c>
      <c r="Q313" s="369">
        <v>892775.37999999989</v>
      </c>
    </row>
    <row r="314" spans="1:17" ht="12" customHeight="1">
      <c r="A314" s="93"/>
      <c r="B314" s="362" t="s">
        <v>818</v>
      </c>
      <c r="C314" s="363" t="s">
        <v>1274</v>
      </c>
      <c r="D314" s="363" t="s">
        <v>129</v>
      </c>
      <c r="E314" s="364" t="s">
        <v>1273</v>
      </c>
      <c r="F314" s="365">
        <v>7585747.4199999999</v>
      </c>
      <c r="G314" s="364">
        <v>83</v>
      </c>
      <c r="H314" s="365">
        <v>7421413.1699999999</v>
      </c>
      <c r="I314" s="364">
        <v>84</v>
      </c>
      <c r="J314" s="366">
        <v>7519404.9499999993</v>
      </c>
      <c r="K314" s="367">
        <v>84</v>
      </c>
      <c r="L314" s="368">
        <v>7393598.9299999997</v>
      </c>
      <c r="M314" s="366">
        <v>84</v>
      </c>
      <c r="N314" s="366">
        <v>7151516.8300000001</v>
      </c>
      <c r="O314" s="366">
        <v>7607709.9699999997</v>
      </c>
      <c r="P314" s="362">
        <v>8102475.1100000013</v>
      </c>
      <c r="Q314" s="363">
        <v>434230.58999999985</v>
      </c>
    </row>
    <row r="315" spans="1:17" ht="12" customHeight="1">
      <c r="A315" s="93"/>
      <c r="B315" s="369" t="s">
        <v>820</v>
      </c>
      <c r="C315" s="369" t="s">
        <v>1274</v>
      </c>
      <c r="D315" s="369" t="s">
        <v>105</v>
      </c>
      <c r="E315" s="370" t="s">
        <v>1271</v>
      </c>
      <c r="F315" s="377">
        <v>5094793.6899999995</v>
      </c>
      <c r="G315" s="378">
        <v>70</v>
      </c>
      <c r="H315" s="371">
        <v>5094468.4800000004</v>
      </c>
      <c r="I315" s="370">
        <v>70</v>
      </c>
      <c r="J315" s="372">
        <v>5671952.7300000004</v>
      </c>
      <c r="K315" s="373">
        <v>70</v>
      </c>
      <c r="L315" s="374">
        <v>6007970.5</v>
      </c>
      <c r="M315" s="372">
        <v>70</v>
      </c>
      <c r="N315" s="372">
        <v>5411404.3800000008</v>
      </c>
      <c r="O315" s="372">
        <v>5888706.0800000001</v>
      </c>
      <c r="P315" s="369">
        <v>5890594.3899999997</v>
      </c>
      <c r="Q315" s="369">
        <v>-316610.69000000134</v>
      </c>
    </row>
    <row r="316" spans="1:17" ht="12" customHeight="1">
      <c r="A316" s="93"/>
      <c r="B316" s="362" t="s">
        <v>822</v>
      </c>
      <c r="C316" s="363" t="s">
        <v>1272</v>
      </c>
      <c r="D316" s="363" t="s">
        <v>154</v>
      </c>
      <c r="E316" s="364" t="s">
        <v>1271</v>
      </c>
      <c r="F316" s="365">
        <v>4195850.0600000005</v>
      </c>
      <c r="G316" s="364">
        <v>85</v>
      </c>
      <c r="H316" s="365">
        <v>4159881.4099999997</v>
      </c>
      <c r="I316" s="364">
        <v>85</v>
      </c>
      <c r="J316" s="366">
        <v>4052448.7</v>
      </c>
      <c r="K316" s="367">
        <v>85</v>
      </c>
      <c r="L316" s="368">
        <v>4214809.13</v>
      </c>
      <c r="M316" s="366">
        <v>85</v>
      </c>
      <c r="N316" s="366">
        <v>4061133.13</v>
      </c>
      <c r="O316" s="366">
        <v>3975916.13</v>
      </c>
      <c r="P316" s="362">
        <v>3728738.31</v>
      </c>
      <c r="Q316" s="363">
        <v>134716.93000000063</v>
      </c>
    </row>
    <row r="317" spans="1:17" ht="12" customHeight="1">
      <c r="A317" s="93"/>
      <c r="B317" s="369" t="s">
        <v>826</v>
      </c>
      <c r="C317" s="369" t="s">
        <v>1274</v>
      </c>
      <c r="D317" s="369" t="s">
        <v>31</v>
      </c>
      <c r="E317" s="370" t="s">
        <v>1271</v>
      </c>
      <c r="F317" s="377">
        <v>2077645.2799999998</v>
      </c>
      <c r="G317" s="378">
        <v>59</v>
      </c>
      <c r="H317" s="371">
        <v>2071012.9500000002</v>
      </c>
      <c r="I317" s="370">
        <v>60</v>
      </c>
      <c r="J317" s="372">
        <v>1858707.17</v>
      </c>
      <c r="K317" s="373">
        <v>60</v>
      </c>
      <c r="L317" s="374">
        <v>2074251.22</v>
      </c>
      <c r="M317" s="372">
        <v>60</v>
      </c>
      <c r="N317" s="372">
        <v>1940297.28</v>
      </c>
      <c r="O317" s="372">
        <v>1916775.0100000002</v>
      </c>
      <c r="P317" s="369">
        <v>1734173.9</v>
      </c>
      <c r="Q317" s="369">
        <v>137347.99999999977</v>
      </c>
    </row>
    <row r="318" spans="1:17" ht="12" customHeight="1">
      <c r="A318" s="93"/>
      <c r="B318" s="362" t="s">
        <v>828</v>
      </c>
      <c r="C318" s="363" t="s">
        <v>1272</v>
      </c>
      <c r="D318" s="363" t="s">
        <v>151</v>
      </c>
      <c r="E318" s="364" t="s">
        <v>1273</v>
      </c>
      <c r="F318" s="365">
        <v>5408748.0899999999</v>
      </c>
      <c r="G318" s="364">
        <v>45</v>
      </c>
      <c r="H318" s="365">
        <v>5503734.3899999997</v>
      </c>
      <c r="I318" s="364">
        <v>45</v>
      </c>
      <c r="J318" s="366">
        <v>5392293.5499999998</v>
      </c>
      <c r="K318" s="367">
        <v>45</v>
      </c>
      <c r="L318" s="368">
        <v>5433392.04</v>
      </c>
      <c r="M318" s="366">
        <v>45</v>
      </c>
      <c r="N318" s="366">
        <v>5496889.4399999995</v>
      </c>
      <c r="O318" s="366">
        <v>5032850.84</v>
      </c>
      <c r="P318" s="362">
        <v>5215853.82</v>
      </c>
      <c r="Q318" s="363">
        <v>-88141.349999999627</v>
      </c>
    </row>
    <row r="319" spans="1:17" ht="12" customHeight="1">
      <c r="A319" s="93"/>
      <c r="B319" s="369" t="s">
        <v>832</v>
      </c>
      <c r="C319" s="369" t="s">
        <v>1274</v>
      </c>
      <c r="D319" s="369" t="s">
        <v>129</v>
      </c>
      <c r="E319" s="370" t="s">
        <v>1271</v>
      </c>
      <c r="F319" s="377">
        <v>4823612.17</v>
      </c>
      <c r="G319" s="378">
        <v>60</v>
      </c>
      <c r="H319" s="371">
        <v>4493120.55</v>
      </c>
      <c r="I319" s="370">
        <v>60</v>
      </c>
      <c r="J319" s="372">
        <v>4233584.6500000004</v>
      </c>
      <c r="K319" s="373">
        <v>60</v>
      </c>
      <c r="L319" s="374">
        <v>4290532.1899999995</v>
      </c>
      <c r="M319" s="372">
        <v>60</v>
      </c>
      <c r="N319" s="372">
        <v>3713030.84</v>
      </c>
      <c r="O319" s="372">
        <v>3908004.3</v>
      </c>
      <c r="P319" s="369">
        <v>3823866.28</v>
      </c>
      <c r="Q319" s="369">
        <v>1110581.33</v>
      </c>
    </row>
    <row r="320" spans="1:17" ht="12" customHeight="1">
      <c r="A320" s="93"/>
      <c r="B320" s="362" t="s">
        <v>834</v>
      </c>
      <c r="C320" s="363" t="s">
        <v>1272</v>
      </c>
      <c r="D320" s="363" t="s">
        <v>106</v>
      </c>
      <c r="E320" s="364" t="s">
        <v>1273</v>
      </c>
      <c r="F320" s="365">
        <v>11307904.789999999</v>
      </c>
      <c r="G320" s="364">
        <v>93</v>
      </c>
      <c r="H320" s="365">
        <v>11320319.600000001</v>
      </c>
      <c r="I320" s="364">
        <v>93</v>
      </c>
      <c r="J320" s="366">
        <v>11664363.059999999</v>
      </c>
      <c r="K320" s="367">
        <v>93</v>
      </c>
      <c r="L320" s="368">
        <v>11502887.66</v>
      </c>
      <c r="M320" s="366">
        <v>93</v>
      </c>
      <c r="N320" s="366">
        <v>11533093.85</v>
      </c>
      <c r="O320" s="366">
        <v>11332184.27</v>
      </c>
      <c r="P320" s="362">
        <v>11008521.32</v>
      </c>
      <c r="Q320" s="363">
        <v>-225189.06000000052</v>
      </c>
    </row>
    <row r="321" spans="1:17" ht="12" customHeight="1">
      <c r="A321" s="93"/>
      <c r="B321" s="369" t="s">
        <v>1305</v>
      </c>
      <c r="C321" s="369" t="s">
        <v>1274</v>
      </c>
      <c r="D321" s="369" t="s">
        <v>171</v>
      </c>
      <c r="E321" s="370" t="s">
        <v>1273</v>
      </c>
      <c r="F321" s="377">
        <v>2031562.21</v>
      </c>
      <c r="G321" s="378">
        <v>35</v>
      </c>
      <c r="H321" s="371">
        <v>2133998.4</v>
      </c>
      <c r="I321" s="370">
        <v>35</v>
      </c>
      <c r="J321" s="372">
        <v>2052667.44</v>
      </c>
      <c r="K321" s="373">
        <v>35</v>
      </c>
      <c r="L321" s="374">
        <v>1999743.1</v>
      </c>
      <c r="M321" s="372">
        <v>35</v>
      </c>
      <c r="N321" s="372">
        <v>1944249.2400000002</v>
      </c>
      <c r="O321" s="372">
        <v>1562337.4</v>
      </c>
      <c r="P321" s="369">
        <v>1515981.07</v>
      </c>
      <c r="Q321" s="369">
        <v>87312.969999999739</v>
      </c>
    </row>
    <row r="322" spans="1:17" ht="12" customHeight="1">
      <c r="A322" s="93"/>
      <c r="B322" s="362" t="s">
        <v>836</v>
      </c>
      <c r="C322" s="363" t="s">
        <v>1272</v>
      </c>
      <c r="D322" s="363" t="s">
        <v>177</v>
      </c>
      <c r="E322" s="364" t="s">
        <v>1273</v>
      </c>
      <c r="F322" s="365">
        <v>3389216.94</v>
      </c>
      <c r="G322" s="364">
        <v>47</v>
      </c>
      <c r="H322" s="365">
        <v>3772836.04</v>
      </c>
      <c r="I322" s="364">
        <v>47</v>
      </c>
      <c r="J322" s="366">
        <v>3669071.9</v>
      </c>
      <c r="K322" s="367">
        <v>47</v>
      </c>
      <c r="L322" s="368">
        <v>3599530.55</v>
      </c>
      <c r="M322" s="366">
        <v>47</v>
      </c>
      <c r="N322" s="366">
        <v>3689524.5</v>
      </c>
      <c r="O322" s="366">
        <v>4529614.99</v>
      </c>
      <c r="P322" s="362">
        <v>4298753.9000000004</v>
      </c>
      <c r="Q322" s="363">
        <v>-300307.56000000006</v>
      </c>
    </row>
    <row r="323" spans="1:17" ht="12" customHeight="1">
      <c r="A323" s="93"/>
      <c r="B323" s="369" t="s">
        <v>838</v>
      </c>
      <c r="C323" s="369" t="s">
        <v>1272</v>
      </c>
      <c r="D323" s="369" t="s">
        <v>135</v>
      </c>
      <c r="E323" s="370" t="s">
        <v>1273</v>
      </c>
      <c r="F323" s="377">
        <v>5663688.8300000001</v>
      </c>
      <c r="G323" s="378">
        <v>43</v>
      </c>
      <c r="H323" s="371">
        <v>5625571.75</v>
      </c>
      <c r="I323" s="370">
        <v>43</v>
      </c>
      <c r="J323" s="372">
        <v>5372084.3200000003</v>
      </c>
      <c r="K323" s="373">
        <v>43</v>
      </c>
      <c r="L323" s="374">
        <v>5636765.46</v>
      </c>
      <c r="M323" s="372">
        <v>43</v>
      </c>
      <c r="N323" s="372">
        <v>5894441.4900000002</v>
      </c>
      <c r="O323" s="372">
        <v>5662054.1299999999</v>
      </c>
      <c r="P323" s="369">
        <v>5983830.0800000001</v>
      </c>
      <c r="Q323" s="369">
        <v>-230752.66000000015</v>
      </c>
    </row>
    <row r="324" spans="1:17" ht="12" customHeight="1">
      <c r="A324" s="93"/>
      <c r="B324" s="362" t="s">
        <v>840</v>
      </c>
      <c r="C324" s="363" t="s">
        <v>1272</v>
      </c>
      <c r="D324" s="363" t="s">
        <v>120</v>
      </c>
      <c r="E324" s="364" t="s">
        <v>1273</v>
      </c>
      <c r="F324" s="365">
        <v>10435325.789999999</v>
      </c>
      <c r="G324" s="364">
        <v>80</v>
      </c>
      <c r="H324" s="365">
        <v>10074337.24</v>
      </c>
      <c r="I324" s="364">
        <v>80</v>
      </c>
      <c r="J324" s="366">
        <v>10203638.800000001</v>
      </c>
      <c r="K324" s="367">
        <v>80</v>
      </c>
      <c r="L324" s="368">
        <v>10451858.52</v>
      </c>
      <c r="M324" s="366">
        <v>80</v>
      </c>
      <c r="N324" s="366">
        <v>10502307.34</v>
      </c>
      <c r="O324" s="366">
        <v>10656688.84</v>
      </c>
      <c r="P324" s="362">
        <v>9557038.4400000013</v>
      </c>
      <c r="Q324" s="363">
        <v>-66981.550000000745</v>
      </c>
    </row>
    <row r="325" spans="1:17" ht="12" customHeight="1">
      <c r="A325" s="93"/>
      <c r="B325" s="369" t="s">
        <v>1306</v>
      </c>
      <c r="C325" s="369" t="s">
        <v>1274</v>
      </c>
      <c r="D325" s="369" t="s">
        <v>121</v>
      </c>
      <c r="E325" s="370" t="s">
        <v>1271</v>
      </c>
      <c r="F325" s="377">
        <v>870171.57</v>
      </c>
      <c r="G325" s="378">
        <v>24</v>
      </c>
      <c r="H325" s="371">
        <v>902201.95</v>
      </c>
      <c r="I325" s="370">
        <v>24</v>
      </c>
      <c r="J325" s="372">
        <v>857050.95</v>
      </c>
      <c r="K325" s="373">
        <v>24</v>
      </c>
      <c r="L325" s="374">
        <v>977485.69</v>
      </c>
      <c r="M325" s="372">
        <v>24</v>
      </c>
      <c r="N325" s="372">
        <v>911703.07000000007</v>
      </c>
      <c r="O325" s="372">
        <v>841263.98</v>
      </c>
      <c r="P325" s="369">
        <v>789225.26</v>
      </c>
      <c r="Q325" s="369">
        <v>-41531.500000000116</v>
      </c>
    </row>
    <row r="326" spans="1:17" ht="12" customHeight="1">
      <c r="A326" s="93"/>
      <c r="B326" s="362" t="s">
        <v>842</v>
      </c>
      <c r="C326" s="363" t="s">
        <v>1274</v>
      </c>
      <c r="D326" s="363" t="s">
        <v>148</v>
      </c>
      <c r="E326" s="364" t="s">
        <v>1271</v>
      </c>
      <c r="F326" s="365">
        <v>349885.57</v>
      </c>
      <c r="G326" s="364">
        <v>5</v>
      </c>
      <c r="H326" s="365">
        <v>310878.77</v>
      </c>
      <c r="I326" s="364">
        <v>5</v>
      </c>
      <c r="J326" s="366">
        <v>245151.02000000002</v>
      </c>
      <c r="K326" s="367">
        <v>5</v>
      </c>
      <c r="L326" s="368">
        <v>240520.69</v>
      </c>
      <c r="M326" s="366">
        <v>5</v>
      </c>
      <c r="N326" s="366">
        <v>358033.36</v>
      </c>
      <c r="O326" s="366">
        <v>325535.5</v>
      </c>
      <c r="P326" s="362">
        <v>248381.74</v>
      </c>
      <c r="Q326" s="363">
        <v>-8147.789999999979</v>
      </c>
    </row>
    <row r="327" spans="1:17" ht="12" customHeight="1">
      <c r="A327" s="93"/>
      <c r="B327" s="369" t="s">
        <v>844</v>
      </c>
      <c r="C327" s="369" t="s">
        <v>1272</v>
      </c>
      <c r="D327" s="369" t="s">
        <v>115</v>
      </c>
      <c r="E327" s="370" t="s">
        <v>1273</v>
      </c>
      <c r="F327" s="377">
        <v>6123487.1799999997</v>
      </c>
      <c r="G327" s="378">
        <v>70</v>
      </c>
      <c r="H327" s="371">
        <v>5735473.8900000006</v>
      </c>
      <c r="I327" s="370">
        <v>70</v>
      </c>
      <c r="J327" s="372">
        <v>4463374.8600000003</v>
      </c>
      <c r="K327" s="373">
        <v>70</v>
      </c>
      <c r="L327" s="374">
        <v>5055050.57</v>
      </c>
      <c r="M327" s="372">
        <v>70</v>
      </c>
      <c r="N327" s="372">
        <v>4593906.71</v>
      </c>
      <c r="O327" s="372">
        <v>4234983.92</v>
      </c>
      <c r="P327" s="369">
        <v>3336672.21</v>
      </c>
      <c r="Q327" s="369">
        <v>1529580.4699999997</v>
      </c>
    </row>
    <row r="328" spans="1:17" ht="12" customHeight="1">
      <c r="A328" s="93"/>
      <c r="B328" s="362" t="s">
        <v>850</v>
      </c>
      <c r="C328" s="363" t="s">
        <v>1272</v>
      </c>
      <c r="D328" s="363" t="s">
        <v>111</v>
      </c>
      <c r="E328" s="364" t="s">
        <v>1273</v>
      </c>
      <c r="F328" s="365">
        <v>4204444.41</v>
      </c>
      <c r="G328" s="364">
        <v>40</v>
      </c>
      <c r="H328" s="365">
        <v>4465095.68</v>
      </c>
      <c r="I328" s="364">
        <v>40</v>
      </c>
      <c r="J328" s="366">
        <v>4238355.2</v>
      </c>
      <c r="K328" s="367">
        <v>40</v>
      </c>
      <c r="L328" s="368">
        <v>4328412.4399999995</v>
      </c>
      <c r="M328" s="366">
        <v>40</v>
      </c>
      <c r="N328" s="366">
        <v>4423573.29</v>
      </c>
      <c r="O328" s="366">
        <v>4257686.09</v>
      </c>
      <c r="P328" s="362">
        <v>4165698.32</v>
      </c>
      <c r="Q328" s="363">
        <v>-219128.87999999989</v>
      </c>
    </row>
    <row r="329" spans="1:17" ht="12" customHeight="1">
      <c r="A329" s="93"/>
      <c r="B329" s="369" t="s">
        <v>852</v>
      </c>
      <c r="C329" s="369" t="s">
        <v>1272</v>
      </c>
      <c r="D329" s="369" t="s">
        <v>39</v>
      </c>
      <c r="E329" s="370" t="s">
        <v>1273</v>
      </c>
      <c r="F329" s="377">
        <v>2695824.77</v>
      </c>
      <c r="G329" s="378">
        <v>30</v>
      </c>
      <c r="H329" s="371">
        <v>2693428.51</v>
      </c>
      <c r="I329" s="370">
        <v>30</v>
      </c>
      <c r="J329" s="372">
        <v>2262842.92</v>
      </c>
      <c r="K329" s="373">
        <v>30</v>
      </c>
      <c r="L329" s="374">
        <v>2178137.29</v>
      </c>
      <c r="M329" s="372">
        <v>30</v>
      </c>
      <c r="N329" s="372">
        <v>1990555.72</v>
      </c>
      <c r="O329" s="372">
        <v>2053100.6800000002</v>
      </c>
      <c r="P329" s="369">
        <v>2161816.7599999998</v>
      </c>
      <c r="Q329" s="369">
        <v>705269.05</v>
      </c>
    </row>
    <row r="330" spans="1:17" ht="12" customHeight="1">
      <c r="A330" s="93"/>
      <c r="B330" s="362" t="s">
        <v>854</v>
      </c>
      <c r="C330" s="363" t="s">
        <v>1272</v>
      </c>
      <c r="D330" s="363" t="s">
        <v>154</v>
      </c>
      <c r="E330" s="364" t="s">
        <v>1271</v>
      </c>
      <c r="F330" s="365">
        <v>3198846.6500000004</v>
      </c>
      <c r="G330" s="364">
        <v>47</v>
      </c>
      <c r="H330" s="365">
        <v>2984672.76</v>
      </c>
      <c r="I330" s="364">
        <v>47</v>
      </c>
      <c r="J330" s="366">
        <v>3022506.9299999997</v>
      </c>
      <c r="K330" s="367">
        <v>47</v>
      </c>
      <c r="L330" s="368">
        <v>2942111.65</v>
      </c>
      <c r="M330" s="366">
        <v>47</v>
      </c>
      <c r="N330" s="366">
        <v>2889868.71</v>
      </c>
      <c r="O330" s="366">
        <v>3017861.33</v>
      </c>
      <c r="P330" s="362">
        <v>2745065.86</v>
      </c>
      <c r="Q330" s="363">
        <v>308977.94000000041</v>
      </c>
    </row>
    <row r="331" spans="1:17" ht="12" customHeight="1">
      <c r="A331" s="93"/>
      <c r="B331" s="369" t="s">
        <v>856</v>
      </c>
      <c r="C331" s="369" t="s">
        <v>1272</v>
      </c>
      <c r="D331" s="369" t="s">
        <v>154</v>
      </c>
      <c r="E331" s="370" t="s">
        <v>1273</v>
      </c>
      <c r="F331" s="377">
        <v>5787450.8300000001</v>
      </c>
      <c r="G331" s="378">
        <v>42</v>
      </c>
      <c r="H331" s="371">
        <v>6180819.3300000001</v>
      </c>
      <c r="I331" s="370">
        <v>42</v>
      </c>
      <c r="J331" s="372">
        <v>5600360.3200000003</v>
      </c>
      <c r="K331" s="373">
        <v>42</v>
      </c>
      <c r="L331" s="374">
        <v>5292137.79</v>
      </c>
      <c r="M331" s="372">
        <v>42</v>
      </c>
      <c r="N331" s="372">
        <v>5336022.83</v>
      </c>
      <c r="O331" s="372">
        <v>5246257.6400000006</v>
      </c>
      <c r="P331" s="369">
        <v>5375672.8699999992</v>
      </c>
      <c r="Q331" s="369">
        <v>451428</v>
      </c>
    </row>
    <row r="332" spans="1:17" ht="12" customHeight="1">
      <c r="A332" s="93"/>
      <c r="B332" s="362" t="s">
        <v>858</v>
      </c>
      <c r="C332" s="363" t="s">
        <v>1272</v>
      </c>
      <c r="D332" s="363" t="s">
        <v>155</v>
      </c>
      <c r="E332" s="364" t="s">
        <v>1271</v>
      </c>
      <c r="F332" s="365">
        <v>2056037.4</v>
      </c>
      <c r="G332" s="364">
        <v>35</v>
      </c>
      <c r="H332" s="365">
        <v>2235139.38</v>
      </c>
      <c r="I332" s="364">
        <v>35</v>
      </c>
      <c r="J332" s="366">
        <v>2121399.2600000002</v>
      </c>
      <c r="K332" s="367">
        <v>35</v>
      </c>
      <c r="L332" s="368">
        <v>1860404.83</v>
      </c>
      <c r="M332" s="366">
        <v>35</v>
      </c>
      <c r="N332" s="366">
        <v>1400252.75</v>
      </c>
      <c r="O332" s="366">
        <v>1203146.6099999999</v>
      </c>
      <c r="P332" s="362">
        <v>1177042.3700000001</v>
      </c>
      <c r="Q332" s="363">
        <v>655784.64999999991</v>
      </c>
    </row>
    <row r="333" spans="1:17" ht="12" customHeight="1">
      <c r="A333" s="93"/>
      <c r="B333" s="369" t="s">
        <v>860</v>
      </c>
      <c r="C333" s="369" t="s">
        <v>1274</v>
      </c>
      <c r="D333" s="369" t="s">
        <v>129</v>
      </c>
      <c r="E333" s="370" t="s">
        <v>1273</v>
      </c>
      <c r="F333" s="377">
        <v>6202047.4700000007</v>
      </c>
      <c r="G333" s="378">
        <v>55</v>
      </c>
      <c r="H333" s="371">
        <v>6499413.6600000001</v>
      </c>
      <c r="I333" s="370">
        <v>55</v>
      </c>
      <c r="J333" s="372">
        <v>6390992.6799999997</v>
      </c>
      <c r="K333" s="373">
        <v>55</v>
      </c>
      <c r="L333" s="374">
        <v>6410412.1600000001</v>
      </c>
      <c r="M333" s="372">
        <v>55</v>
      </c>
      <c r="N333" s="372">
        <v>6648825.6799999997</v>
      </c>
      <c r="O333" s="372">
        <v>6234110.7400000002</v>
      </c>
      <c r="P333" s="369">
        <v>5713221.1999999993</v>
      </c>
      <c r="Q333" s="369">
        <v>-446778.20999999903</v>
      </c>
    </row>
    <row r="334" spans="1:17" ht="12" customHeight="1">
      <c r="A334" s="93"/>
      <c r="B334" s="362" t="s">
        <v>862</v>
      </c>
      <c r="C334" s="363" t="s">
        <v>1274</v>
      </c>
      <c r="D334" s="363" t="s">
        <v>130</v>
      </c>
      <c r="E334" s="364" t="s">
        <v>1273</v>
      </c>
      <c r="F334" s="365">
        <v>1702097.79</v>
      </c>
      <c r="G334" s="364">
        <v>20</v>
      </c>
      <c r="H334" s="365">
        <v>1411215.49</v>
      </c>
      <c r="I334" s="364">
        <v>20</v>
      </c>
      <c r="J334" s="366">
        <v>1128956.92</v>
      </c>
      <c r="K334" s="367">
        <v>20</v>
      </c>
      <c r="L334" s="368">
        <v>1110885.0499999998</v>
      </c>
      <c r="M334" s="366">
        <v>20</v>
      </c>
      <c r="N334" s="366">
        <v>1115045.83</v>
      </c>
      <c r="O334" s="366">
        <v>781070.7</v>
      </c>
      <c r="P334" s="362">
        <v>48524.42</v>
      </c>
      <c r="Q334" s="363">
        <v>587051.96</v>
      </c>
    </row>
    <row r="335" spans="1:17" ht="12" customHeight="1">
      <c r="A335" s="93"/>
      <c r="B335" s="369" t="s">
        <v>866</v>
      </c>
      <c r="C335" s="369" t="s">
        <v>1274</v>
      </c>
      <c r="D335" s="369" t="s">
        <v>107</v>
      </c>
      <c r="E335" s="370" t="s">
        <v>1271</v>
      </c>
      <c r="F335" s="377">
        <v>6486670.1200000001</v>
      </c>
      <c r="G335" s="378">
        <v>58</v>
      </c>
      <c r="H335" s="371">
        <v>6408110.4000000004</v>
      </c>
      <c r="I335" s="370">
        <v>58</v>
      </c>
      <c r="J335" s="372">
        <v>6014284.6799999997</v>
      </c>
      <c r="K335" s="373">
        <v>58</v>
      </c>
      <c r="L335" s="374">
        <v>5982060.8900000006</v>
      </c>
      <c r="M335" s="372">
        <v>58</v>
      </c>
      <c r="N335" s="372">
        <v>5451800.9900000002</v>
      </c>
      <c r="O335" s="372">
        <v>5372501.7000000002</v>
      </c>
      <c r="P335" s="369">
        <v>5311724.1500000004</v>
      </c>
      <c r="Q335" s="369">
        <v>1034869.1299999999</v>
      </c>
    </row>
    <row r="336" spans="1:17" ht="12" customHeight="1">
      <c r="A336" s="93"/>
      <c r="B336" s="362" t="s">
        <v>1277</v>
      </c>
      <c r="C336" s="363" t="s">
        <v>1274</v>
      </c>
      <c r="D336" s="363" t="s">
        <v>129</v>
      </c>
      <c r="E336" s="364" t="s">
        <v>1273</v>
      </c>
      <c r="F336" s="365">
        <v>3049937.7199999997</v>
      </c>
      <c r="G336" s="364">
        <v>28</v>
      </c>
      <c r="H336" s="365">
        <v>3136804.04</v>
      </c>
      <c r="I336" s="364">
        <v>28</v>
      </c>
      <c r="J336" s="366">
        <v>3176264.79</v>
      </c>
      <c r="K336" s="367">
        <v>28</v>
      </c>
      <c r="L336" s="368">
        <v>3306177.3899999997</v>
      </c>
      <c r="M336" s="366">
        <v>28</v>
      </c>
      <c r="N336" s="366">
        <v>3393457.67</v>
      </c>
      <c r="O336" s="366">
        <v>3294364.1</v>
      </c>
      <c r="P336" s="362">
        <v>3522822.01</v>
      </c>
      <c r="Q336" s="363">
        <v>-343519.95000000019</v>
      </c>
    </row>
    <row r="337" spans="1:17" ht="12" customHeight="1">
      <c r="A337" s="93"/>
      <c r="B337" s="369" t="s">
        <v>868</v>
      </c>
      <c r="C337" s="369" t="s">
        <v>1272</v>
      </c>
      <c r="D337" s="369" t="s">
        <v>175</v>
      </c>
      <c r="E337" s="370" t="s">
        <v>1273</v>
      </c>
      <c r="F337" s="377">
        <v>5721099.4900000002</v>
      </c>
      <c r="G337" s="378">
        <v>50</v>
      </c>
      <c r="H337" s="371">
        <v>5901284.0899999999</v>
      </c>
      <c r="I337" s="370">
        <v>50</v>
      </c>
      <c r="J337" s="372">
        <v>5702583.0700000003</v>
      </c>
      <c r="K337" s="373">
        <v>50</v>
      </c>
      <c r="L337" s="374">
        <v>5497486.5899999999</v>
      </c>
      <c r="M337" s="372">
        <v>50</v>
      </c>
      <c r="N337" s="372">
        <v>4412579.7699999996</v>
      </c>
      <c r="O337" s="372">
        <v>3564971.9299999997</v>
      </c>
      <c r="P337" s="369">
        <v>584523.26</v>
      </c>
      <c r="Q337" s="369">
        <v>1308519.7200000007</v>
      </c>
    </row>
    <row r="338" spans="1:17" ht="12" customHeight="1">
      <c r="B338" s="362" t="s">
        <v>870</v>
      </c>
      <c r="C338" s="363" t="s">
        <v>1272</v>
      </c>
      <c r="D338" s="363" t="s">
        <v>122</v>
      </c>
      <c r="E338" s="364" t="s">
        <v>1273</v>
      </c>
      <c r="F338" s="365">
        <v>5786912.6299999999</v>
      </c>
      <c r="G338" s="364">
        <v>58</v>
      </c>
      <c r="H338" s="365">
        <v>6579115.9800000004</v>
      </c>
      <c r="I338" s="364">
        <v>58</v>
      </c>
      <c r="J338" s="366">
        <v>6301365.1899999995</v>
      </c>
      <c r="K338" s="367">
        <v>58</v>
      </c>
      <c r="L338" s="368">
        <v>5662762.0600000005</v>
      </c>
      <c r="M338" s="366">
        <v>58</v>
      </c>
      <c r="N338" s="366">
        <v>5607594.7300000004</v>
      </c>
      <c r="O338" s="366">
        <v>5867413.7999999998</v>
      </c>
      <c r="P338" s="362">
        <v>6131153.6699999999</v>
      </c>
      <c r="Q338" s="363">
        <v>179317.89999999944</v>
      </c>
    </row>
    <row r="339" spans="1:17" ht="12" customHeight="1">
      <c r="A339" s="93"/>
      <c r="B339" s="369" t="s">
        <v>872</v>
      </c>
      <c r="C339" s="369" t="s">
        <v>1274</v>
      </c>
      <c r="D339" s="369" t="s">
        <v>171</v>
      </c>
      <c r="E339" s="370" t="s">
        <v>1273</v>
      </c>
      <c r="F339" s="377">
        <v>3601214.2</v>
      </c>
      <c r="G339" s="378">
        <v>44</v>
      </c>
      <c r="H339" s="371">
        <v>3679216.17</v>
      </c>
      <c r="I339" s="370">
        <v>44</v>
      </c>
      <c r="J339" s="372">
        <v>3796907.66</v>
      </c>
      <c r="K339" s="373">
        <v>44</v>
      </c>
      <c r="L339" s="374">
        <v>3638131.85</v>
      </c>
      <c r="M339" s="372">
        <v>44</v>
      </c>
      <c r="N339" s="372">
        <v>3831925.2800000003</v>
      </c>
      <c r="O339" s="372">
        <v>3817540.15</v>
      </c>
      <c r="P339" s="369">
        <v>3781791.46</v>
      </c>
      <c r="Q339" s="369">
        <v>-230711.08000000007</v>
      </c>
    </row>
    <row r="340" spans="1:17" ht="12" customHeight="1">
      <c r="A340" s="93"/>
      <c r="B340" s="362" t="s">
        <v>874</v>
      </c>
      <c r="C340" s="363" t="s">
        <v>1272</v>
      </c>
      <c r="D340" s="363" t="s">
        <v>128</v>
      </c>
      <c r="E340" s="364" t="s">
        <v>1273</v>
      </c>
      <c r="F340" s="365">
        <v>3226669.12</v>
      </c>
      <c r="G340" s="364">
        <v>25</v>
      </c>
      <c r="H340" s="365">
        <v>3463261.13</v>
      </c>
      <c r="I340" s="364">
        <v>25</v>
      </c>
      <c r="J340" s="366">
        <v>3300905.5300000003</v>
      </c>
      <c r="K340" s="367">
        <v>25</v>
      </c>
      <c r="L340" s="368">
        <v>3908096.09</v>
      </c>
      <c r="M340" s="366">
        <v>25</v>
      </c>
      <c r="N340" s="366">
        <v>3839027.01</v>
      </c>
      <c r="O340" s="366">
        <v>3601773.3899999997</v>
      </c>
      <c r="P340" s="362">
        <v>3670286.94</v>
      </c>
      <c r="Q340" s="363">
        <v>-612357.88999999966</v>
      </c>
    </row>
    <row r="341" spans="1:17" ht="12" customHeight="1">
      <c r="A341" s="93"/>
      <c r="B341" s="369" t="s">
        <v>876</v>
      </c>
      <c r="C341" s="369" t="s">
        <v>1272</v>
      </c>
      <c r="D341" s="369" t="s">
        <v>146</v>
      </c>
      <c r="E341" s="370" t="s">
        <v>1273</v>
      </c>
      <c r="F341" s="377">
        <v>6835427.1099999994</v>
      </c>
      <c r="G341" s="378">
        <v>66</v>
      </c>
      <c r="H341" s="371">
        <v>7533636.3300000001</v>
      </c>
      <c r="I341" s="370">
        <v>69</v>
      </c>
      <c r="J341" s="372">
        <v>7755690.6400000006</v>
      </c>
      <c r="K341" s="373">
        <v>69</v>
      </c>
      <c r="L341" s="374">
        <v>7268007.3600000003</v>
      </c>
      <c r="M341" s="372">
        <v>69</v>
      </c>
      <c r="N341" s="372">
        <v>6916733.29</v>
      </c>
      <c r="O341" s="372">
        <v>6684194.5800000001</v>
      </c>
      <c r="P341" s="369">
        <v>6673330.4800000004</v>
      </c>
      <c r="Q341" s="369">
        <v>-81306.180000000633</v>
      </c>
    </row>
    <row r="342" spans="1:17" ht="12" customHeight="1">
      <c r="A342" s="93"/>
      <c r="B342" s="362" t="s">
        <v>878</v>
      </c>
      <c r="C342" s="363" t="s">
        <v>1272</v>
      </c>
      <c r="D342" s="363" t="s">
        <v>174</v>
      </c>
      <c r="E342" s="364" t="s">
        <v>1273</v>
      </c>
      <c r="F342" s="365">
        <v>19555135.109999999</v>
      </c>
      <c r="G342" s="364">
        <v>100</v>
      </c>
      <c r="H342" s="365">
        <v>19440082.18</v>
      </c>
      <c r="I342" s="364">
        <v>100</v>
      </c>
      <c r="J342" s="366">
        <v>19368601.140000001</v>
      </c>
      <c r="K342" s="367">
        <v>100</v>
      </c>
      <c r="L342" s="368">
        <v>18193081.300000001</v>
      </c>
      <c r="M342" s="366">
        <v>100</v>
      </c>
      <c r="N342" s="366">
        <v>18308238.199999999</v>
      </c>
      <c r="O342" s="366">
        <v>17276614.34</v>
      </c>
      <c r="P342" s="362">
        <v>18570386.170000002</v>
      </c>
      <c r="Q342" s="363">
        <v>1246896.9100000001</v>
      </c>
    </row>
    <row r="343" spans="1:17" ht="12" customHeight="1">
      <c r="A343" s="93"/>
      <c r="B343" s="369" t="s">
        <v>880</v>
      </c>
      <c r="C343" s="369" t="s">
        <v>1274</v>
      </c>
      <c r="D343" s="369" t="s">
        <v>129</v>
      </c>
      <c r="E343" s="370" t="s">
        <v>1271</v>
      </c>
      <c r="F343" s="377">
        <v>1746171.49</v>
      </c>
      <c r="G343" s="378">
        <v>35</v>
      </c>
      <c r="H343" s="371">
        <v>1693680.69</v>
      </c>
      <c r="I343" s="370">
        <v>35</v>
      </c>
      <c r="J343" s="372">
        <v>1484621.19</v>
      </c>
      <c r="K343" s="373">
        <v>35</v>
      </c>
      <c r="L343" s="374">
        <v>1132464.26</v>
      </c>
      <c r="M343" s="372">
        <v>35</v>
      </c>
      <c r="N343" s="372">
        <v>1384500.05</v>
      </c>
      <c r="O343" s="372">
        <v>1583940.27</v>
      </c>
      <c r="P343" s="369">
        <v>1582921.3</v>
      </c>
      <c r="Q343" s="369">
        <v>361671.43999999994</v>
      </c>
    </row>
    <row r="344" spans="1:17" ht="12" customHeight="1">
      <c r="A344" s="93"/>
      <c r="B344" s="362" t="s">
        <v>882</v>
      </c>
      <c r="C344" s="363" t="s">
        <v>1274</v>
      </c>
      <c r="D344" s="363" t="s">
        <v>129</v>
      </c>
      <c r="E344" s="364" t="s">
        <v>1271</v>
      </c>
      <c r="F344" s="365">
        <v>4456287.8900000006</v>
      </c>
      <c r="G344" s="364">
        <v>65</v>
      </c>
      <c r="H344" s="365">
        <v>4206590.3899999997</v>
      </c>
      <c r="I344" s="364">
        <v>65</v>
      </c>
      <c r="J344" s="366">
        <v>3976174.49</v>
      </c>
      <c r="K344" s="367">
        <v>55</v>
      </c>
      <c r="L344" s="368">
        <v>4095112.4499999997</v>
      </c>
      <c r="M344" s="366">
        <v>55</v>
      </c>
      <c r="N344" s="366">
        <v>3884491.19</v>
      </c>
      <c r="O344" s="366">
        <v>3805760.1799999997</v>
      </c>
      <c r="P344" s="362">
        <v>3638311.97</v>
      </c>
      <c r="Q344" s="363">
        <v>571796.70000000065</v>
      </c>
    </row>
    <row r="345" spans="1:17" ht="12" customHeight="1">
      <c r="A345" s="93"/>
      <c r="B345" s="369" t="s">
        <v>884</v>
      </c>
      <c r="C345" s="369" t="s">
        <v>1274</v>
      </c>
      <c r="D345" s="369" t="s">
        <v>125</v>
      </c>
      <c r="E345" s="370" t="s">
        <v>1271</v>
      </c>
      <c r="F345" s="377">
        <v>1452614.72</v>
      </c>
      <c r="G345" s="378">
        <v>25</v>
      </c>
      <c r="H345" s="371">
        <v>1384349.02</v>
      </c>
      <c r="I345" s="370">
        <v>25</v>
      </c>
      <c r="J345" s="372">
        <v>1462058.82</v>
      </c>
      <c r="K345" s="373">
        <v>25</v>
      </c>
      <c r="L345" s="374">
        <v>1589347.77</v>
      </c>
      <c r="M345" s="372">
        <v>25</v>
      </c>
      <c r="N345" s="372">
        <v>1716312.71</v>
      </c>
      <c r="O345" s="372">
        <v>1729643.98</v>
      </c>
      <c r="P345" s="369">
        <v>1923535</v>
      </c>
      <c r="Q345" s="369">
        <v>-263697.99</v>
      </c>
    </row>
    <row r="346" spans="1:17" ht="12" customHeight="1">
      <c r="A346" s="93"/>
      <c r="B346" s="362" t="s">
        <v>886</v>
      </c>
      <c r="C346" s="363" t="s">
        <v>1274</v>
      </c>
      <c r="D346" s="363" t="s">
        <v>125</v>
      </c>
      <c r="E346" s="364" t="s">
        <v>1271</v>
      </c>
      <c r="F346" s="365">
        <v>1365666</v>
      </c>
      <c r="G346" s="364">
        <v>40</v>
      </c>
      <c r="H346" s="365">
        <v>1450514.34</v>
      </c>
      <c r="I346" s="364">
        <v>40</v>
      </c>
      <c r="J346" s="366">
        <v>1389345.31</v>
      </c>
      <c r="K346" s="367">
        <v>39</v>
      </c>
      <c r="L346" s="368">
        <v>1324059.21</v>
      </c>
      <c r="M346" s="366">
        <v>40</v>
      </c>
      <c r="N346" s="366">
        <v>1495793.05</v>
      </c>
      <c r="O346" s="366">
        <v>1427062.13</v>
      </c>
      <c r="P346" s="362">
        <v>1235689.98</v>
      </c>
      <c r="Q346" s="363">
        <v>-130127.05000000005</v>
      </c>
    </row>
    <row r="347" spans="1:17" ht="12" customHeight="1">
      <c r="A347" s="93"/>
      <c r="B347" s="369" t="s">
        <v>888</v>
      </c>
      <c r="C347" s="369" t="s">
        <v>1272</v>
      </c>
      <c r="D347" s="369" t="s">
        <v>144</v>
      </c>
      <c r="E347" s="370" t="s">
        <v>1273</v>
      </c>
      <c r="F347" s="377">
        <v>4324871.59</v>
      </c>
      <c r="G347" s="378">
        <v>47</v>
      </c>
      <c r="H347" s="371">
        <v>4352051.07</v>
      </c>
      <c r="I347" s="370">
        <v>30</v>
      </c>
      <c r="J347" s="372">
        <v>3983315.1799999997</v>
      </c>
      <c r="K347" s="373">
        <v>30</v>
      </c>
      <c r="L347" s="374">
        <v>3971031.52</v>
      </c>
      <c r="M347" s="372">
        <v>30</v>
      </c>
      <c r="N347" s="372">
        <v>4313191.08</v>
      </c>
      <c r="O347" s="372">
        <v>4722370.43</v>
      </c>
      <c r="P347" s="369">
        <v>4546300.74</v>
      </c>
      <c r="Q347" s="369">
        <v>11680.509999999776</v>
      </c>
    </row>
    <row r="348" spans="1:17" ht="12" customHeight="1">
      <c r="A348" s="93"/>
      <c r="B348" s="362" t="s">
        <v>890</v>
      </c>
      <c r="C348" s="363" t="s">
        <v>1272</v>
      </c>
      <c r="D348" s="363" t="s">
        <v>166</v>
      </c>
      <c r="E348" s="364" t="s">
        <v>1271</v>
      </c>
      <c r="F348" s="365">
        <v>4760510.08</v>
      </c>
      <c r="G348" s="364">
        <v>81</v>
      </c>
      <c r="H348" s="365">
        <v>5341749.51</v>
      </c>
      <c r="I348" s="364">
        <v>81</v>
      </c>
      <c r="J348" s="366">
        <v>5329889.66</v>
      </c>
      <c r="K348" s="367">
        <v>81</v>
      </c>
      <c r="L348" s="368">
        <v>5350011.18</v>
      </c>
      <c r="M348" s="366">
        <v>81</v>
      </c>
      <c r="N348" s="366">
        <v>4623551.43</v>
      </c>
      <c r="O348" s="366">
        <v>4800052.8899999997</v>
      </c>
      <c r="P348" s="362">
        <v>3806953.28</v>
      </c>
      <c r="Q348" s="363">
        <v>136958.65000000037</v>
      </c>
    </row>
    <row r="349" spans="1:17" ht="12" customHeight="1">
      <c r="A349" s="93"/>
      <c r="B349" s="369" t="s">
        <v>892</v>
      </c>
      <c r="C349" s="369" t="s">
        <v>1272</v>
      </c>
      <c r="D349" s="369" t="s">
        <v>120</v>
      </c>
      <c r="E349" s="370" t="s">
        <v>1273</v>
      </c>
      <c r="F349" s="377">
        <v>4456562.38</v>
      </c>
      <c r="G349" s="378">
        <v>40</v>
      </c>
      <c r="H349" s="371">
        <v>4446029.34</v>
      </c>
      <c r="I349" s="370">
        <v>40</v>
      </c>
      <c r="J349" s="372">
        <v>4235668.84</v>
      </c>
      <c r="K349" s="373">
        <v>40</v>
      </c>
      <c r="L349" s="374">
        <v>4334545.99</v>
      </c>
      <c r="M349" s="372">
        <v>40</v>
      </c>
      <c r="N349" s="372">
        <v>4240082.8</v>
      </c>
      <c r="O349" s="372">
        <v>4253041.5199999996</v>
      </c>
      <c r="P349" s="369">
        <v>4139093.18</v>
      </c>
      <c r="Q349" s="369">
        <v>216479.58000000007</v>
      </c>
    </row>
    <row r="350" spans="1:17" ht="12" customHeight="1">
      <c r="A350" s="93"/>
      <c r="B350" s="362" t="s">
        <v>894</v>
      </c>
      <c r="C350" s="363" t="s">
        <v>1272</v>
      </c>
      <c r="D350" s="363" t="s">
        <v>116</v>
      </c>
      <c r="E350" s="364" t="s">
        <v>1273</v>
      </c>
      <c r="F350" s="365">
        <v>12028042.57</v>
      </c>
      <c r="G350" s="364">
        <v>79</v>
      </c>
      <c r="H350" s="365">
        <v>12415149.310000001</v>
      </c>
      <c r="I350" s="364">
        <v>79</v>
      </c>
      <c r="J350" s="366">
        <v>12302497.58</v>
      </c>
      <c r="K350" s="367">
        <v>79</v>
      </c>
      <c r="L350" s="368">
        <v>12857523.039999999</v>
      </c>
      <c r="M350" s="366">
        <v>79</v>
      </c>
      <c r="N350" s="366">
        <v>13007869.1</v>
      </c>
      <c r="O350" s="366">
        <v>12322427.18</v>
      </c>
      <c r="P350" s="362">
        <v>12714399.640000001</v>
      </c>
      <c r="Q350" s="363">
        <v>-979826.52999999933</v>
      </c>
    </row>
    <row r="351" spans="1:17" ht="12" customHeight="1">
      <c r="A351" s="93"/>
      <c r="B351" s="369" t="s">
        <v>1307</v>
      </c>
      <c r="C351" s="369" t="s">
        <v>1272</v>
      </c>
      <c r="D351" s="369" t="s">
        <v>39</v>
      </c>
      <c r="E351" s="370" t="s">
        <v>1273</v>
      </c>
      <c r="F351" s="377">
        <v>4592106.53</v>
      </c>
      <c r="G351" s="378">
        <v>40</v>
      </c>
      <c r="H351" s="371">
        <v>4846027.03</v>
      </c>
      <c r="I351" s="370">
        <v>40</v>
      </c>
      <c r="J351" s="372">
        <v>5186120.75</v>
      </c>
      <c r="K351" s="373">
        <v>40</v>
      </c>
      <c r="L351" s="374">
        <v>5809879.4800000004</v>
      </c>
      <c r="M351" s="372">
        <v>40</v>
      </c>
      <c r="N351" s="372">
        <v>5226985.49</v>
      </c>
      <c r="O351" s="372">
        <v>5468493.9000000004</v>
      </c>
      <c r="P351" s="369">
        <v>4914422.45</v>
      </c>
      <c r="Q351" s="369">
        <v>-634878.96</v>
      </c>
    </row>
    <row r="352" spans="1:17" ht="12" customHeight="1">
      <c r="A352" s="93"/>
      <c r="B352" s="362" t="s">
        <v>896</v>
      </c>
      <c r="C352" s="363" t="s">
        <v>1272</v>
      </c>
      <c r="D352" s="363" t="s">
        <v>39</v>
      </c>
      <c r="E352" s="364" t="s">
        <v>1273</v>
      </c>
      <c r="F352" s="365">
        <v>1880962.1</v>
      </c>
      <c r="G352" s="364">
        <v>20</v>
      </c>
      <c r="H352" s="365">
        <v>1850025.07</v>
      </c>
      <c r="I352" s="364">
        <v>20</v>
      </c>
      <c r="J352" s="366">
        <v>1566591.62</v>
      </c>
      <c r="K352" s="367">
        <v>20</v>
      </c>
      <c r="L352" s="368">
        <v>1855784.1199999999</v>
      </c>
      <c r="M352" s="366">
        <v>20</v>
      </c>
      <c r="N352" s="366">
        <v>1819362.5699999998</v>
      </c>
      <c r="O352" s="366">
        <v>1677038.99</v>
      </c>
      <c r="P352" s="362">
        <v>1534092.83</v>
      </c>
      <c r="Q352" s="363">
        <v>61599.530000000261</v>
      </c>
    </row>
    <row r="353" spans="1:17" ht="12" customHeight="1">
      <c r="A353" s="93"/>
      <c r="B353" s="369" t="s">
        <v>1278</v>
      </c>
      <c r="C353" s="369" t="s">
        <v>1274</v>
      </c>
      <c r="D353" s="369" t="s">
        <v>34</v>
      </c>
      <c r="E353" s="370" t="s">
        <v>1271</v>
      </c>
      <c r="F353" s="377">
        <v>1315335.77</v>
      </c>
      <c r="G353" s="378">
        <v>30</v>
      </c>
      <c r="H353" s="371">
        <v>1311953.0499999998</v>
      </c>
      <c r="I353" s="370">
        <v>30</v>
      </c>
      <c r="J353" s="372">
        <v>1282462.1400000001</v>
      </c>
      <c r="K353" s="373">
        <v>30</v>
      </c>
      <c r="L353" s="374">
        <v>1350945.46</v>
      </c>
      <c r="M353" s="372">
        <v>30</v>
      </c>
      <c r="N353" s="372">
        <v>1234477.73</v>
      </c>
      <c r="O353" s="372">
        <v>1232853.25</v>
      </c>
      <c r="P353" s="369">
        <v>1128710.55</v>
      </c>
      <c r="Q353" s="369">
        <v>80858.040000000037</v>
      </c>
    </row>
    <row r="354" spans="1:17" ht="12" customHeight="1">
      <c r="A354" s="93"/>
      <c r="B354" s="362" t="s">
        <v>900</v>
      </c>
      <c r="C354" s="363" t="s">
        <v>1272</v>
      </c>
      <c r="D354" s="363" t="s">
        <v>166</v>
      </c>
      <c r="E354" s="364" t="s">
        <v>1273</v>
      </c>
      <c r="F354" s="365">
        <v>2070720.9</v>
      </c>
      <c r="G354" s="364">
        <v>40</v>
      </c>
      <c r="H354" s="365">
        <v>2015556.8900000001</v>
      </c>
      <c r="I354" s="364">
        <v>40</v>
      </c>
      <c r="J354" s="366">
        <v>2140201.61</v>
      </c>
      <c r="K354" s="367">
        <v>40</v>
      </c>
      <c r="L354" s="368">
        <v>2281062.62</v>
      </c>
      <c r="M354" s="366">
        <v>40</v>
      </c>
      <c r="N354" s="366">
        <v>1812330.42</v>
      </c>
      <c r="O354" s="366">
        <v>695204.44</v>
      </c>
      <c r="P354" s="362">
        <v>1499447.7</v>
      </c>
      <c r="Q354" s="363">
        <v>258390.47999999998</v>
      </c>
    </row>
    <row r="355" spans="1:17" ht="12" customHeight="1">
      <c r="A355" s="93"/>
      <c r="B355" s="369" t="s">
        <v>902</v>
      </c>
      <c r="C355" s="369" t="s">
        <v>1272</v>
      </c>
      <c r="D355" s="369" t="s">
        <v>175</v>
      </c>
      <c r="E355" s="370" t="s">
        <v>1273</v>
      </c>
      <c r="F355" s="377">
        <v>4799606.7699999996</v>
      </c>
      <c r="G355" s="378">
        <v>52</v>
      </c>
      <c r="H355" s="371">
        <v>4802301.49</v>
      </c>
      <c r="I355" s="370">
        <v>52</v>
      </c>
      <c r="J355" s="372">
        <v>4384739.55</v>
      </c>
      <c r="K355" s="373">
        <v>52</v>
      </c>
      <c r="L355" s="374">
        <v>4386606.33</v>
      </c>
      <c r="M355" s="372">
        <v>52</v>
      </c>
      <c r="N355" s="372">
        <v>4252841.22</v>
      </c>
      <c r="O355" s="372">
        <v>4196735.24</v>
      </c>
      <c r="P355" s="369">
        <v>4689817.2300000004</v>
      </c>
      <c r="Q355" s="369">
        <v>546765.54999999981</v>
      </c>
    </row>
    <row r="356" spans="1:17" ht="12" customHeight="1">
      <c r="A356" s="93"/>
      <c r="B356" s="362" t="s">
        <v>904</v>
      </c>
      <c r="C356" s="363" t="s">
        <v>1274</v>
      </c>
      <c r="D356" s="363" t="s">
        <v>179</v>
      </c>
      <c r="E356" s="364" t="s">
        <v>1273</v>
      </c>
      <c r="F356" s="365">
        <v>1568524.65</v>
      </c>
      <c r="G356" s="364">
        <v>19</v>
      </c>
      <c r="H356" s="365">
        <v>1399535.7000000002</v>
      </c>
      <c r="I356" s="364">
        <v>19</v>
      </c>
      <c r="J356" s="366">
        <v>1142371.7</v>
      </c>
      <c r="K356" s="367">
        <v>19</v>
      </c>
      <c r="L356" s="368">
        <v>1128132.3900000001</v>
      </c>
      <c r="M356" s="366">
        <v>19</v>
      </c>
      <c r="N356" s="366">
        <v>1060135.3199999998</v>
      </c>
      <c r="O356" s="366">
        <v>969061.75</v>
      </c>
      <c r="P356" s="362">
        <v>0</v>
      </c>
      <c r="Q356" s="363">
        <v>508389.33000000007</v>
      </c>
    </row>
    <row r="357" spans="1:17" ht="12" customHeight="1">
      <c r="A357" s="93"/>
      <c r="B357" s="369" t="s">
        <v>906</v>
      </c>
      <c r="C357" s="369" t="s">
        <v>1274</v>
      </c>
      <c r="D357" s="369" t="s">
        <v>149</v>
      </c>
      <c r="E357" s="370" t="s">
        <v>1273</v>
      </c>
      <c r="F357" s="377">
        <v>3687355.25</v>
      </c>
      <c r="G357" s="378">
        <v>33</v>
      </c>
      <c r="H357" s="371">
        <v>3107581.1500000004</v>
      </c>
      <c r="I357" s="370">
        <v>33</v>
      </c>
      <c r="J357" s="372">
        <v>3075719.08</v>
      </c>
      <c r="K357" s="373">
        <v>33</v>
      </c>
      <c r="L357" s="374">
        <v>2998583.39</v>
      </c>
      <c r="M357" s="372">
        <v>33</v>
      </c>
      <c r="N357" s="372">
        <v>2973362.52</v>
      </c>
      <c r="O357" s="372">
        <v>2754792.7</v>
      </c>
      <c r="P357" s="369">
        <v>2930370.72</v>
      </c>
      <c r="Q357" s="369">
        <v>713992.73</v>
      </c>
    </row>
    <row r="358" spans="1:17" ht="12" customHeight="1">
      <c r="A358" s="93"/>
      <c r="B358" s="362" t="s">
        <v>908</v>
      </c>
      <c r="C358" s="363" t="s">
        <v>1274</v>
      </c>
      <c r="D358" s="363" t="s">
        <v>148</v>
      </c>
      <c r="E358" s="364" t="s">
        <v>1271</v>
      </c>
      <c r="F358" s="365">
        <v>2856362.37</v>
      </c>
      <c r="G358" s="364">
        <v>33</v>
      </c>
      <c r="H358" s="365">
        <v>2730466.83</v>
      </c>
      <c r="I358" s="364">
        <v>34</v>
      </c>
      <c r="J358" s="366">
        <v>2146503.3600000003</v>
      </c>
      <c r="K358" s="367">
        <v>33</v>
      </c>
      <c r="L358" s="368">
        <v>2482078.27</v>
      </c>
      <c r="M358" s="366">
        <v>34</v>
      </c>
      <c r="N358" s="366">
        <v>2334569.77</v>
      </c>
      <c r="O358" s="366">
        <v>2303634.54</v>
      </c>
      <c r="P358" s="362">
        <v>2141717.35</v>
      </c>
      <c r="Q358" s="363">
        <v>521792.60000000009</v>
      </c>
    </row>
    <row r="359" spans="1:17" ht="12" customHeight="1">
      <c r="A359" s="93"/>
      <c r="B359" s="369" t="s">
        <v>910</v>
      </c>
      <c r="C359" s="369" t="s">
        <v>1274</v>
      </c>
      <c r="D359" s="369" t="s">
        <v>105</v>
      </c>
      <c r="E359" s="370" t="s">
        <v>1273</v>
      </c>
      <c r="F359" s="377">
        <v>3810955.21</v>
      </c>
      <c r="G359" s="378">
        <v>54</v>
      </c>
      <c r="H359" s="371">
        <v>3974517.56</v>
      </c>
      <c r="I359" s="370">
        <v>54</v>
      </c>
      <c r="J359" s="372">
        <v>3823056.52</v>
      </c>
      <c r="K359" s="373">
        <v>54</v>
      </c>
      <c r="L359" s="374">
        <v>3660365.21</v>
      </c>
      <c r="M359" s="372">
        <v>54</v>
      </c>
      <c r="N359" s="372">
        <v>3986456.5</v>
      </c>
      <c r="O359" s="372">
        <v>3948291.75</v>
      </c>
      <c r="P359" s="369">
        <v>4189480.55</v>
      </c>
      <c r="Q359" s="369">
        <v>-175501.29000000004</v>
      </c>
    </row>
    <row r="360" spans="1:17" ht="12" customHeight="1">
      <c r="A360" s="93"/>
      <c r="B360" s="362" t="s">
        <v>916</v>
      </c>
      <c r="C360" s="363" t="s">
        <v>1272</v>
      </c>
      <c r="D360" s="363" t="s">
        <v>120</v>
      </c>
      <c r="E360" s="364" t="s">
        <v>1271</v>
      </c>
      <c r="F360" s="365">
        <v>4465581.5199999996</v>
      </c>
      <c r="G360" s="364">
        <v>68</v>
      </c>
      <c r="H360" s="365">
        <v>4596955.83</v>
      </c>
      <c r="I360" s="364">
        <v>68</v>
      </c>
      <c r="J360" s="366">
        <v>4386900.95</v>
      </c>
      <c r="K360" s="367">
        <v>68</v>
      </c>
      <c r="L360" s="368">
        <v>4700494.26</v>
      </c>
      <c r="M360" s="366">
        <v>68</v>
      </c>
      <c r="N360" s="366">
        <v>4447067.92</v>
      </c>
      <c r="O360" s="366">
        <v>4326189.91</v>
      </c>
      <c r="P360" s="362">
        <v>4469257.63</v>
      </c>
      <c r="Q360" s="363">
        <v>18513.599999999627</v>
      </c>
    </row>
    <row r="361" spans="1:17" ht="12" customHeight="1">
      <c r="A361" s="93"/>
      <c r="B361" s="369" t="s">
        <v>1308</v>
      </c>
      <c r="C361" s="369" t="s">
        <v>1272</v>
      </c>
      <c r="D361" s="369" t="s">
        <v>161</v>
      </c>
      <c r="E361" s="370" t="s">
        <v>1271</v>
      </c>
      <c r="F361" s="377">
        <v>4981412.46</v>
      </c>
      <c r="G361" s="378">
        <v>57</v>
      </c>
      <c r="H361" s="371">
        <v>4728601.08</v>
      </c>
      <c r="I361" s="370">
        <v>57</v>
      </c>
      <c r="J361" s="372">
        <v>4714482.04</v>
      </c>
      <c r="K361" s="373">
        <v>57</v>
      </c>
      <c r="L361" s="374">
        <v>5139118.4400000004</v>
      </c>
      <c r="M361" s="372">
        <v>57</v>
      </c>
      <c r="N361" s="372">
        <v>5057595.12</v>
      </c>
      <c r="O361" s="372">
        <v>4980785.97</v>
      </c>
      <c r="P361" s="369">
        <v>5661513.8499999996</v>
      </c>
      <c r="Q361" s="369">
        <v>-76182.660000000149</v>
      </c>
    </row>
    <row r="362" spans="1:17" ht="12" customHeight="1">
      <c r="A362" s="93"/>
      <c r="B362" s="362" t="s">
        <v>1309</v>
      </c>
      <c r="C362" s="363" t="s">
        <v>1274</v>
      </c>
      <c r="D362" s="363" t="s">
        <v>125</v>
      </c>
      <c r="E362" s="364" t="s">
        <v>1273</v>
      </c>
      <c r="F362" s="365">
        <v>2461588.8200000003</v>
      </c>
      <c r="G362" s="364">
        <v>32</v>
      </c>
      <c r="H362" s="365">
        <v>2515741.9900000002</v>
      </c>
      <c r="I362" s="364">
        <v>32</v>
      </c>
      <c r="J362" s="366">
        <v>2205537.5</v>
      </c>
      <c r="K362" s="367">
        <v>32</v>
      </c>
      <c r="L362" s="368">
        <v>2261276.0700000003</v>
      </c>
      <c r="M362" s="366">
        <v>32</v>
      </c>
      <c r="N362" s="366">
        <v>2357779.4299999997</v>
      </c>
      <c r="O362" s="366">
        <v>2042017.19</v>
      </c>
      <c r="P362" s="362">
        <v>2487992.37</v>
      </c>
      <c r="Q362" s="363">
        <v>103809.3900000006</v>
      </c>
    </row>
    <row r="363" spans="1:17" ht="12" customHeight="1">
      <c r="A363" s="93"/>
      <c r="B363" s="369" t="s">
        <v>1427</v>
      </c>
      <c r="C363" s="369" t="s">
        <v>1272</v>
      </c>
      <c r="D363" s="369" t="s">
        <v>39</v>
      </c>
      <c r="E363" s="370" t="s">
        <v>1273</v>
      </c>
      <c r="F363" s="377">
        <v>2918584.79</v>
      </c>
      <c r="G363" s="378">
        <v>31</v>
      </c>
      <c r="H363" s="371">
        <v>3062568.58</v>
      </c>
      <c r="I363" s="370">
        <v>31</v>
      </c>
      <c r="J363" s="372">
        <v>3662413.56</v>
      </c>
      <c r="K363" s="373">
        <v>31</v>
      </c>
      <c r="L363" s="374">
        <v>4220968.51</v>
      </c>
      <c r="M363" s="372">
        <v>31</v>
      </c>
      <c r="N363" s="372">
        <v>3986996.1</v>
      </c>
      <c r="O363" s="372">
        <v>3637549.2800000003</v>
      </c>
      <c r="P363" s="369">
        <v>3940953.72</v>
      </c>
      <c r="Q363" s="369">
        <v>-1068411.31</v>
      </c>
    </row>
    <row r="364" spans="1:17" ht="12" customHeight="1">
      <c r="A364" s="93"/>
      <c r="B364" s="362" t="s">
        <v>920</v>
      </c>
      <c r="C364" s="363" t="s">
        <v>1272</v>
      </c>
      <c r="D364" s="363" t="s">
        <v>133</v>
      </c>
      <c r="E364" s="364" t="s">
        <v>1273</v>
      </c>
      <c r="F364" s="365">
        <v>2860185.94</v>
      </c>
      <c r="G364" s="364">
        <v>40</v>
      </c>
      <c r="H364" s="365">
        <v>3179052.8899999997</v>
      </c>
      <c r="I364" s="364">
        <v>40</v>
      </c>
      <c r="J364" s="366">
        <v>2943246.6399999997</v>
      </c>
      <c r="K364" s="367">
        <v>40</v>
      </c>
      <c r="L364" s="368">
        <v>2755741.01</v>
      </c>
      <c r="M364" s="366">
        <v>40</v>
      </c>
      <c r="N364" s="366">
        <v>2786997</v>
      </c>
      <c r="O364" s="366">
        <v>2879390.62</v>
      </c>
      <c r="P364" s="362">
        <v>2832195.22</v>
      </c>
      <c r="Q364" s="363">
        <v>73188.939999999944</v>
      </c>
    </row>
    <row r="365" spans="1:17" ht="12" customHeight="1">
      <c r="A365" s="93"/>
      <c r="B365" s="369" t="s">
        <v>922</v>
      </c>
      <c r="C365" s="369" t="s">
        <v>1272</v>
      </c>
      <c r="D365" s="369" t="s">
        <v>145</v>
      </c>
      <c r="E365" s="370" t="s">
        <v>1271</v>
      </c>
      <c r="F365" s="377">
        <v>3889253.0200000005</v>
      </c>
      <c r="G365" s="378">
        <v>70</v>
      </c>
      <c r="H365" s="371">
        <v>4190538.54</v>
      </c>
      <c r="I365" s="370">
        <v>70</v>
      </c>
      <c r="J365" s="372">
        <v>4299139.6899999995</v>
      </c>
      <c r="K365" s="373">
        <v>70</v>
      </c>
      <c r="L365" s="374">
        <v>4102400.95</v>
      </c>
      <c r="M365" s="372">
        <v>70</v>
      </c>
      <c r="N365" s="372">
        <v>3161950.12</v>
      </c>
      <c r="O365" s="372">
        <v>3338538.07</v>
      </c>
      <c r="P365" s="369">
        <v>3440508.85</v>
      </c>
      <c r="Q365" s="369">
        <v>727302.90000000037</v>
      </c>
    </row>
    <row r="366" spans="1:17" ht="12" customHeight="1">
      <c r="A366" s="93"/>
      <c r="B366" s="362" t="s">
        <v>924</v>
      </c>
      <c r="C366" s="363" t="s">
        <v>1274</v>
      </c>
      <c r="D366" s="363" t="s">
        <v>127</v>
      </c>
      <c r="E366" s="364" t="s">
        <v>1273</v>
      </c>
      <c r="F366" s="365">
        <v>3523328.49</v>
      </c>
      <c r="G366" s="364">
        <v>35</v>
      </c>
      <c r="H366" s="365">
        <v>3749171.5</v>
      </c>
      <c r="I366" s="364">
        <v>35</v>
      </c>
      <c r="J366" s="366">
        <v>3387294.87</v>
      </c>
      <c r="K366" s="367">
        <v>35</v>
      </c>
      <c r="L366" s="368">
        <v>3563198.1</v>
      </c>
      <c r="M366" s="366">
        <v>35</v>
      </c>
      <c r="N366" s="366">
        <v>3678058.58</v>
      </c>
      <c r="O366" s="366">
        <v>3404304.3600000003</v>
      </c>
      <c r="P366" s="362">
        <v>3373523.28</v>
      </c>
      <c r="Q366" s="363">
        <v>-154730.08999999985</v>
      </c>
    </row>
    <row r="367" spans="1:17" ht="12" customHeight="1">
      <c r="A367" s="93"/>
      <c r="B367" s="369" t="s">
        <v>926</v>
      </c>
      <c r="C367" s="369" t="s">
        <v>1272</v>
      </c>
      <c r="D367" s="369" t="s">
        <v>111</v>
      </c>
      <c r="E367" s="370" t="s">
        <v>1273</v>
      </c>
      <c r="F367" s="377">
        <v>4969898.4499999993</v>
      </c>
      <c r="G367" s="378">
        <v>42</v>
      </c>
      <c r="H367" s="371">
        <v>4562904.49</v>
      </c>
      <c r="I367" s="370">
        <v>42</v>
      </c>
      <c r="J367" s="372">
        <v>4750333.0299999993</v>
      </c>
      <c r="K367" s="373">
        <v>42</v>
      </c>
      <c r="L367" s="374">
        <v>4492734.2699999996</v>
      </c>
      <c r="M367" s="372">
        <v>42</v>
      </c>
      <c r="N367" s="372">
        <v>4897347.17</v>
      </c>
      <c r="O367" s="372">
        <v>4363150.9399999995</v>
      </c>
      <c r="P367" s="369">
        <v>3910460.61</v>
      </c>
      <c r="Q367" s="369">
        <v>72551.279999999329</v>
      </c>
    </row>
    <row r="368" spans="1:17" ht="12" customHeight="1">
      <c r="A368" s="93"/>
      <c r="B368" s="362" t="s">
        <v>928</v>
      </c>
      <c r="C368" s="363" t="s">
        <v>1272</v>
      </c>
      <c r="D368" s="363" t="s">
        <v>122</v>
      </c>
      <c r="E368" s="364" t="s">
        <v>1273</v>
      </c>
      <c r="F368" s="365">
        <v>3691653.63</v>
      </c>
      <c r="G368" s="364">
        <v>40</v>
      </c>
      <c r="H368" s="365">
        <v>3874978.84</v>
      </c>
      <c r="I368" s="364">
        <v>40</v>
      </c>
      <c r="J368" s="366">
        <v>4035416.31</v>
      </c>
      <c r="K368" s="367">
        <v>40</v>
      </c>
      <c r="L368" s="368">
        <v>3974979.1799999997</v>
      </c>
      <c r="M368" s="366">
        <v>40</v>
      </c>
      <c r="N368" s="366">
        <v>3934099.6500000004</v>
      </c>
      <c r="O368" s="366">
        <v>3837411.99</v>
      </c>
      <c r="P368" s="362">
        <v>4011581.61</v>
      </c>
      <c r="Q368" s="363">
        <v>-242446.02000000048</v>
      </c>
    </row>
    <row r="369" spans="1:17" ht="12" customHeight="1">
      <c r="A369" s="93"/>
      <c r="B369" s="369" t="s">
        <v>930</v>
      </c>
      <c r="C369" s="369" t="s">
        <v>1274</v>
      </c>
      <c r="D369" s="369" t="s">
        <v>105</v>
      </c>
      <c r="E369" s="370" t="s">
        <v>1273</v>
      </c>
      <c r="F369" s="377">
        <v>1219274.6000000001</v>
      </c>
      <c r="G369" s="378">
        <v>20</v>
      </c>
      <c r="H369" s="371">
        <v>1154124.25</v>
      </c>
      <c r="I369" s="370">
        <v>20</v>
      </c>
      <c r="J369" s="372">
        <v>834136.78</v>
      </c>
      <c r="K369" s="373">
        <v>20</v>
      </c>
      <c r="L369" s="374">
        <v>726601.15</v>
      </c>
      <c r="M369" s="372">
        <v>20</v>
      </c>
      <c r="N369" s="372">
        <v>826839.14999999991</v>
      </c>
      <c r="O369" s="372">
        <v>940570.89</v>
      </c>
      <c r="P369" s="369">
        <v>904937.41</v>
      </c>
      <c r="Q369" s="369">
        <v>392435.45000000019</v>
      </c>
    </row>
    <row r="370" spans="1:17" ht="12" customHeight="1">
      <c r="A370" s="93"/>
      <c r="B370" s="362" t="s">
        <v>932</v>
      </c>
      <c r="C370" s="363" t="s">
        <v>1274</v>
      </c>
      <c r="D370" s="363" t="s">
        <v>169</v>
      </c>
      <c r="E370" s="364" t="s">
        <v>1271</v>
      </c>
      <c r="F370" s="365">
        <v>3343360.49</v>
      </c>
      <c r="G370" s="364">
        <v>68</v>
      </c>
      <c r="H370" s="365">
        <v>2990427.7</v>
      </c>
      <c r="I370" s="364">
        <v>68</v>
      </c>
      <c r="J370" s="366">
        <v>2939599.6100000003</v>
      </c>
      <c r="K370" s="367">
        <v>70</v>
      </c>
      <c r="L370" s="368">
        <v>3091296.9</v>
      </c>
      <c r="M370" s="366">
        <v>70</v>
      </c>
      <c r="N370" s="366">
        <v>2331385.84</v>
      </c>
      <c r="O370" s="366">
        <v>2320082.38</v>
      </c>
      <c r="P370" s="362">
        <v>2483499.2400000002</v>
      </c>
      <c r="Q370" s="363">
        <v>1011974.6500000004</v>
      </c>
    </row>
    <row r="371" spans="1:17" ht="12" customHeight="1">
      <c r="A371" s="93"/>
      <c r="B371" s="369" t="s">
        <v>1310</v>
      </c>
      <c r="C371" s="369" t="s">
        <v>1272</v>
      </c>
      <c r="D371" s="369" t="s">
        <v>120</v>
      </c>
      <c r="E371" s="370" t="s">
        <v>1273</v>
      </c>
      <c r="F371" s="377">
        <v>5192479.8900000006</v>
      </c>
      <c r="G371" s="378">
        <v>44</v>
      </c>
      <c r="H371" s="371">
        <v>5049199.1099999994</v>
      </c>
      <c r="I371" s="370">
        <v>44</v>
      </c>
      <c r="J371" s="372">
        <v>5038781.4700000007</v>
      </c>
      <c r="K371" s="373">
        <v>44</v>
      </c>
      <c r="L371" s="374">
        <v>4536100.8000000007</v>
      </c>
      <c r="M371" s="372">
        <v>44</v>
      </c>
      <c r="N371" s="372">
        <v>5256530.4800000004</v>
      </c>
      <c r="O371" s="372">
        <v>5536709.8700000001</v>
      </c>
      <c r="P371" s="369">
        <v>5240128.91</v>
      </c>
      <c r="Q371" s="369">
        <v>-64050.589999999851</v>
      </c>
    </row>
    <row r="372" spans="1:17" ht="12" customHeight="1">
      <c r="A372" s="93"/>
      <c r="B372" s="362" t="s">
        <v>936</v>
      </c>
      <c r="C372" s="363" t="s">
        <v>1272</v>
      </c>
      <c r="D372" s="363" t="s">
        <v>155</v>
      </c>
      <c r="E372" s="364" t="s">
        <v>1271</v>
      </c>
      <c r="F372" s="365">
        <v>1311016.6499999999</v>
      </c>
      <c r="G372" s="364">
        <v>40</v>
      </c>
      <c r="H372" s="365">
        <v>1519727.24</v>
      </c>
      <c r="I372" s="364">
        <v>40</v>
      </c>
      <c r="J372" s="366">
        <v>1505470.8900000001</v>
      </c>
      <c r="K372" s="367">
        <v>40</v>
      </c>
      <c r="L372" s="368">
        <v>1494406.77</v>
      </c>
      <c r="M372" s="366">
        <v>40</v>
      </c>
      <c r="N372" s="366">
        <v>1448016.01</v>
      </c>
      <c r="O372" s="366">
        <v>1606045.98</v>
      </c>
      <c r="P372" s="362">
        <v>1575510.78</v>
      </c>
      <c r="Q372" s="363">
        <v>-136999.3600000001</v>
      </c>
    </row>
    <row r="373" spans="1:17" ht="12" customHeight="1">
      <c r="A373" s="93"/>
      <c r="B373" s="369" t="s">
        <v>938</v>
      </c>
      <c r="C373" s="369" t="s">
        <v>1272</v>
      </c>
      <c r="D373" s="369" t="s">
        <v>155</v>
      </c>
      <c r="E373" s="370" t="s">
        <v>1273</v>
      </c>
      <c r="F373" s="377">
        <v>11359539.559999999</v>
      </c>
      <c r="G373" s="378">
        <v>70</v>
      </c>
      <c r="H373" s="371">
        <v>11201116.26</v>
      </c>
      <c r="I373" s="370">
        <v>70</v>
      </c>
      <c r="J373" s="372">
        <v>11202537.810000001</v>
      </c>
      <c r="K373" s="373">
        <v>70</v>
      </c>
      <c r="L373" s="374">
        <v>11217070.41</v>
      </c>
      <c r="M373" s="372">
        <v>70</v>
      </c>
      <c r="N373" s="372">
        <v>11069612.810000001</v>
      </c>
      <c r="O373" s="372">
        <v>11450487.01</v>
      </c>
      <c r="P373" s="369">
        <v>11566320.279999999</v>
      </c>
      <c r="Q373" s="369">
        <v>289926.74999999814</v>
      </c>
    </row>
    <row r="374" spans="1:17" ht="12" customHeight="1">
      <c r="A374" s="93"/>
      <c r="B374" s="362" t="s">
        <v>940</v>
      </c>
      <c r="C374" s="363" t="s">
        <v>1272</v>
      </c>
      <c r="D374" s="363" t="s">
        <v>155</v>
      </c>
      <c r="E374" s="364" t="s">
        <v>1271</v>
      </c>
      <c r="F374" s="365">
        <v>4641949.2699999996</v>
      </c>
      <c r="G374" s="364">
        <v>75</v>
      </c>
      <c r="H374" s="365">
        <v>4950089.87</v>
      </c>
      <c r="I374" s="364">
        <v>75</v>
      </c>
      <c r="J374" s="366">
        <v>5108410.4399999995</v>
      </c>
      <c r="K374" s="367">
        <v>75</v>
      </c>
      <c r="L374" s="368">
        <v>5275198.2200000007</v>
      </c>
      <c r="M374" s="366">
        <v>75</v>
      </c>
      <c r="N374" s="366">
        <v>4981811.43</v>
      </c>
      <c r="O374" s="366">
        <v>4913021.07</v>
      </c>
      <c r="P374" s="362">
        <v>4853414.3499999996</v>
      </c>
      <c r="Q374" s="363">
        <v>-339862.16000000015</v>
      </c>
    </row>
    <row r="375" spans="1:17" ht="12" customHeight="1">
      <c r="A375" s="93"/>
      <c r="B375" s="369" t="s">
        <v>942</v>
      </c>
      <c r="C375" s="369" t="s">
        <v>1272</v>
      </c>
      <c r="D375" s="369" t="s">
        <v>124</v>
      </c>
      <c r="E375" s="370" t="s">
        <v>1273</v>
      </c>
      <c r="F375" s="377">
        <v>16153327.34</v>
      </c>
      <c r="G375" s="378">
        <v>103</v>
      </c>
      <c r="H375" s="371">
        <v>17277001.780000001</v>
      </c>
      <c r="I375" s="370">
        <v>103</v>
      </c>
      <c r="J375" s="372">
        <v>16028857.870000001</v>
      </c>
      <c r="K375" s="373">
        <v>103</v>
      </c>
      <c r="L375" s="374">
        <v>16659147.18</v>
      </c>
      <c r="M375" s="372">
        <v>103</v>
      </c>
      <c r="N375" s="372">
        <v>15705179.629999999</v>
      </c>
      <c r="O375" s="372">
        <v>16265684.190000001</v>
      </c>
      <c r="P375" s="369">
        <v>15835642.85</v>
      </c>
      <c r="Q375" s="369">
        <v>448147.71000000089</v>
      </c>
    </row>
    <row r="376" spans="1:17" ht="12" customHeight="1">
      <c r="A376" s="93"/>
      <c r="B376" s="362" t="s">
        <v>944</v>
      </c>
      <c r="C376" s="363" t="s">
        <v>1272</v>
      </c>
      <c r="D376" s="363" t="s">
        <v>135</v>
      </c>
      <c r="E376" s="364" t="s">
        <v>1273</v>
      </c>
      <c r="F376" s="365">
        <v>16206828.02</v>
      </c>
      <c r="G376" s="364">
        <v>80</v>
      </c>
      <c r="H376" s="365">
        <v>17052482.609999999</v>
      </c>
      <c r="I376" s="364">
        <v>80</v>
      </c>
      <c r="J376" s="366">
        <v>15872724.26</v>
      </c>
      <c r="K376" s="367">
        <v>80</v>
      </c>
      <c r="L376" s="368">
        <v>15947241.52</v>
      </c>
      <c r="M376" s="366">
        <v>80</v>
      </c>
      <c r="N376" s="366">
        <v>15185477.649999999</v>
      </c>
      <c r="O376" s="366">
        <v>13861476.699999999</v>
      </c>
      <c r="P376" s="362">
        <v>13917983.58</v>
      </c>
      <c r="Q376" s="363">
        <v>1021350.370000001</v>
      </c>
    </row>
    <row r="377" spans="1:17" ht="12" customHeight="1">
      <c r="A377" s="93"/>
      <c r="B377" s="369" t="s">
        <v>946</v>
      </c>
      <c r="C377" s="369" t="s">
        <v>1274</v>
      </c>
      <c r="D377" s="369" t="s">
        <v>139</v>
      </c>
      <c r="E377" s="370" t="s">
        <v>1273</v>
      </c>
      <c r="F377" s="377">
        <v>2835881.0700000003</v>
      </c>
      <c r="G377" s="378">
        <v>20</v>
      </c>
      <c r="H377" s="371">
        <v>2684887.49</v>
      </c>
      <c r="I377" s="370">
        <v>20</v>
      </c>
      <c r="J377" s="372">
        <v>2688720.94</v>
      </c>
      <c r="K377" s="373">
        <v>20</v>
      </c>
      <c r="L377" s="374">
        <v>2595059.13</v>
      </c>
      <c r="M377" s="372">
        <v>20</v>
      </c>
      <c r="N377" s="372">
        <v>2684885.89</v>
      </c>
      <c r="O377" s="372">
        <v>2658543.84</v>
      </c>
      <c r="P377" s="369">
        <v>3134368.45</v>
      </c>
      <c r="Q377" s="369">
        <v>150995.18000000017</v>
      </c>
    </row>
    <row r="378" spans="1:17" ht="12" customHeight="1">
      <c r="A378" s="93"/>
      <c r="B378" s="362" t="s">
        <v>948</v>
      </c>
      <c r="C378" s="363" t="s">
        <v>1274</v>
      </c>
      <c r="D378" s="363" t="s">
        <v>110</v>
      </c>
      <c r="E378" s="364" t="s">
        <v>1273</v>
      </c>
      <c r="F378" s="365">
        <v>2223184.0499999998</v>
      </c>
      <c r="G378" s="364">
        <v>30</v>
      </c>
      <c r="H378" s="365">
        <v>2217232.4299999997</v>
      </c>
      <c r="I378" s="364">
        <v>30</v>
      </c>
      <c r="J378" s="366">
        <v>2058703.9</v>
      </c>
      <c r="K378" s="367">
        <v>30</v>
      </c>
      <c r="L378" s="368">
        <v>2039103.6600000001</v>
      </c>
      <c r="M378" s="366">
        <v>30</v>
      </c>
      <c r="N378" s="366">
        <v>1767511.63</v>
      </c>
      <c r="O378" s="366">
        <v>1924473.4300000002</v>
      </c>
      <c r="P378" s="362">
        <v>1801631.91</v>
      </c>
      <c r="Q378" s="363">
        <v>455672.41999999993</v>
      </c>
    </row>
    <row r="379" spans="1:17" ht="12" customHeight="1">
      <c r="A379" s="93"/>
      <c r="B379" s="369" t="s">
        <v>950</v>
      </c>
      <c r="C379" s="369" t="s">
        <v>1274</v>
      </c>
      <c r="D379" s="369" t="s">
        <v>29</v>
      </c>
      <c r="E379" s="370" t="s">
        <v>1273</v>
      </c>
      <c r="F379" s="377">
        <v>1353235.6400000001</v>
      </c>
      <c r="G379" s="378">
        <v>18</v>
      </c>
      <c r="H379" s="371">
        <v>1402541.8599999999</v>
      </c>
      <c r="I379" s="370">
        <v>18</v>
      </c>
      <c r="J379" s="372">
        <v>1440644.98</v>
      </c>
      <c r="K379" s="373">
        <v>18</v>
      </c>
      <c r="L379" s="374">
        <v>1181963.03</v>
      </c>
      <c r="M379" s="372">
        <v>18</v>
      </c>
      <c r="N379" s="372">
        <v>1256551.46</v>
      </c>
      <c r="O379" s="372">
        <v>1097192.44</v>
      </c>
      <c r="P379" s="369">
        <v>1285216.8700000001</v>
      </c>
      <c r="Q379" s="369">
        <v>96684.180000000168</v>
      </c>
    </row>
    <row r="380" spans="1:17" ht="12" customHeight="1">
      <c r="A380" s="93"/>
      <c r="B380" s="362" t="s">
        <v>952</v>
      </c>
      <c r="C380" s="363" t="s">
        <v>1272</v>
      </c>
      <c r="D380" s="363" t="s">
        <v>152</v>
      </c>
      <c r="E380" s="364" t="s">
        <v>1273</v>
      </c>
      <c r="F380" s="365">
        <v>7292518.0800000001</v>
      </c>
      <c r="G380" s="364">
        <v>60</v>
      </c>
      <c r="H380" s="365">
        <v>8247376.3100000005</v>
      </c>
      <c r="I380" s="364">
        <v>60</v>
      </c>
      <c r="J380" s="366">
        <v>7989638.9699999997</v>
      </c>
      <c r="K380" s="367">
        <v>60</v>
      </c>
      <c r="L380" s="368">
        <v>7584271.8600000003</v>
      </c>
      <c r="M380" s="366">
        <v>60</v>
      </c>
      <c r="N380" s="366">
        <v>7544168.8499999996</v>
      </c>
      <c r="O380" s="366">
        <v>7661436.0300000003</v>
      </c>
      <c r="P380" s="362">
        <v>7763350.8700000001</v>
      </c>
      <c r="Q380" s="363">
        <v>-251650.76999999955</v>
      </c>
    </row>
    <row r="381" spans="1:17" ht="12" customHeight="1">
      <c r="A381" s="93"/>
      <c r="B381" s="369" t="s">
        <v>956</v>
      </c>
      <c r="C381" s="369" t="s">
        <v>1272</v>
      </c>
      <c r="D381" s="369" t="s">
        <v>135</v>
      </c>
      <c r="E381" s="370" t="s">
        <v>1273</v>
      </c>
      <c r="F381" s="377">
        <v>6096406.1799999997</v>
      </c>
      <c r="G381" s="378">
        <v>31</v>
      </c>
      <c r="H381" s="371">
        <v>6190142.3200000003</v>
      </c>
      <c r="I381" s="370">
        <v>31</v>
      </c>
      <c r="J381" s="372">
        <v>5667863</v>
      </c>
      <c r="K381" s="373">
        <v>31</v>
      </c>
      <c r="L381" s="374">
        <v>4915362.71</v>
      </c>
      <c r="M381" s="372">
        <v>31</v>
      </c>
      <c r="N381" s="372">
        <v>5019466.68</v>
      </c>
      <c r="O381" s="372">
        <v>5165450.71</v>
      </c>
      <c r="P381" s="369">
        <v>5134132.07</v>
      </c>
      <c r="Q381" s="369">
        <v>1076939.5</v>
      </c>
    </row>
    <row r="382" spans="1:17" ht="12" customHeight="1">
      <c r="A382" s="93"/>
      <c r="B382" s="362" t="s">
        <v>1311</v>
      </c>
      <c r="C382" s="363" t="s">
        <v>1272</v>
      </c>
      <c r="D382" s="363" t="s">
        <v>138</v>
      </c>
      <c r="E382" s="364" t="s">
        <v>1273</v>
      </c>
      <c r="F382" s="365">
        <v>6386064</v>
      </c>
      <c r="G382" s="364">
        <v>69</v>
      </c>
      <c r="H382" s="365">
        <v>7080794.96</v>
      </c>
      <c r="I382" s="364">
        <v>68</v>
      </c>
      <c r="J382" s="366">
        <v>7371866.7599999998</v>
      </c>
      <c r="K382" s="367">
        <v>69</v>
      </c>
      <c r="L382" s="368">
        <v>7253788.5600000005</v>
      </c>
      <c r="M382" s="366">
        <v>69</v>
      </c>
      <c r="N382" s="366">
        <v>7575525.6299999999</v>
      </c>
      <c r="O382" s="366">
        <v>7783501.3499999996</v>
      </c>
      <c r="P382" s="362">
        <v>8041492.209999999</v>
      </c>
      <c r="Q382" s="363">
        <v>-1189461.6299999999</v>
      </c>
    </row>
    <row r="383" spans="1:17" ht="12" customHeight="1">
      <c r="A383" s="93"/>
      <c r="B383" s="369" t="s">
        <v>958</v>
      </c>
      <c r="C383" s="369" t="s">
        <v>1272</v>
      </c>
      <c r="D383" s="369" t="s">
        <v>137</v>
      </c>
      <c r="E383" s="370" t="s">
        <v>1273</v>
      </c>
      <c r="F383" s="377">
        <v>9114566.0099999998</v>
      </c>
      <c r="G383" s="378">
        <v>80</v>
      </c>
      <c r="H383" s="371">
        <v>9522377.5899999999</v>
      </c>
      <c r="I383" s="370">
        <v>76</v>
      </c>
      <c r="J383" s="372">
        <v>9293774.4600000009</v>
      </c>
      <c r="K383" s="373">
        <v>76</v>
      </c>
      <c r="L383" s="374">
        <v>9280354.7899999991</v>
      </c>
      <c r="M383" s="372">
        <v>76</v>
      </c>
      <c r="N383" s="372">
        <v>8438678.879999999</v>
      </c>
      <c r="O383" s="372">
        <v>7870656.8300000001</v>
      </c>
      <c r="P383" s="369">
        <v>8430059.4199999999</v>
      </c>
      <c r="Q383" s="369">
        <v>675887.13000000082</v>
      </c>
    </row>
    <row r="384" spans="1:17" ht="12" customHeight="1">
      <c r="A384" s="93"/>
      <c r="B384" s="362" t="s">
        <v>960</v>
      </c>
      <c r="C384" s="363" t="s">
        <v>1272</v>
      </c>
      <c r="D384" s="363" t="s">
        <v>39</v>
      </c>
      <c r="E384" s="364" t="s">
        <v>1271</v>
      </c>
      <c r="F384" s="365">
        <v>4275906.4800000004</v>
      </c>
      <c r="G384" s="364">
        <v>80</v>
      </c>
      <c r="H384" s="365">
        <v>4613269.29</v>
      </c>
      <c r="I384" s="364">
        <v>80</v>
      </c>
      <c r="J384" s="366">
        <v>4088019.26</v>
      </c>
      <c r="K384" s="367">
        <v>80</v>
      </c>
      <c r="L384" s="368">
        <v>4055140.06</v>
      </c>
      <c r="M384" s="366">
        <v>80</v>
      </c>
      <c r="N384" s="366">
        <v>4091505.5999999996</v>
      </c>
      <c r="O384" s="366">
        <v>4258043.4800000004</v>
      </c>
      <c r="P384" s="362">
        <v>4273001.21</v>
      </c>
      <c r="Q384" s="363">
        <v>184400.88000000082</v>
      </c>
    </row>
    <row r="385" spans="1:17" ht="12" customHeight="1">
      <c r="A385" s="93"/>
      <c r="B385" s="369" t="s">
        <v>962</v>
      </c>
      <c r="C385" s="369" t="s">
        <v>1274</v>
      </c>
      <c r="D385" s="369" t="s">
        <v>33</v>
      </c>
      <c r="E385" s="370" t="s">
        <v>1273</v>
      </c>
      <c r="F385" s="377">
        <v>1442753.24</v>
      </c>
      <c r="G385" s="378">
        <v>25</v>
      </c>
      <c r="H385" s="371">
        <v>1521511.2</v>
      </c>
      <c r="I385" s="370">
        <v>25</v>
      </c>
      <c r="J385" s="372">
        <v>1433765.85</v>
      </c>
      <c r="K385" s="373">
        <v>25</v>
      </c>
      <c r="L385" s="374">
        <v>1381431.56</v>
      </c>
      <c r="M385" s="372">
        <v>25</v>
      </c>
      <c r="N385" s="372">
        <v>1442480.8599999999</v>
      </c>
      <c r="O385" s="372">
        <v>1231368.55</v>
      </c>
      <c r="P385" s="369">
        <v>1080190.75</v>
      </c>
      <c r="Q385" s="369">
        <v>272.38000000012107</v>
      </c>
    </row>
    <row r="386" spans="1:17" ht="12" customHeight="1">
      <c r="A386" s="93"/>
      <c r="B386" s="362" t="s">
        <v>964</v>
      </c>
      <c r="C386" s="363" t="s">
        <v>1272</v>
      </c>
      <c r="D386" s="363" t="s">
        <v>155</v>
      </c>
      <c r="E386" s="364" t="s">
        <v>1273</v>
      </c>
      <c r="F386" s="365">
        <v>2963801.0999999996</v>
      </c>
      <c r="G386" s="364">
        <v>30</v>
      </c>
      <c r="H386" s="365">
        <v>3116959.3099999996</v>
      </c>
      <c r="I386" s="364">
        <v>30</v>
      </c>
      <c r="J386" s="366">
        <v>3402842.77</v>
      </c>
      <c r="K386" s="367">
        <v>30</v>
      </c>
      <c r="L386" s="368">
        <v>3075261.1100000003</v>
      </c>
      <c r="M386" s="366">
        <v>30</v>
      </c>
      <c r="N386" s="366">
        <v>3103414.92</v>
      </c>
      <c r="O386" s="366">
        <v>3282769.81</v>
      </c>
      <c r="P386" s="362">
        <v>3574986.42</v>
      </c>
      <c r="Q386" s="363">
        <v>-139613.8200000003</v>
      </c>
    </row>
    <row r="387" spans="1:17" ht="12" customHeight="1">
      <c r="A387" s="93"/>
      <c r="B387" s="369" t="s">
        <v>966</v>
      </c>
      <c r="C387" s="369" t="s">
        <v>1272</v>
      </c>
      <c r="D387" s="369" t="s">
        <v>155</v>
      </c>
      <c r="E387" s="370" t="s">
        <v>1271</v>
      </c>
      <c r="F387" s="377">
        <v>6022530.5600000005</v>
      </c>
      <c r="G387" s="378">
        <v>70</v>
      </c>
      <c r="H387" s="371">
        <v>5865592.21</v>
      </c>
      <c r="I387" s="370">
        <v>69</v>
      </c>
      <c r="J387" s="372">
        <v>6008857.8499999996</v>
      </c>
      <c r="K387" s="373">
        <v>80</v>
      </c>
      <c r="L387" s="374">
        <v>6178764.5300000003</v>
      </c>
      <c r="M387" s="372">
        <v>80</v>
      </c>
      <c r="N387" s="372">
        <v>5627439.5800000001</v>
      </c>
      <c r="O387" s="372">
        <v>5121484.5999999996</v>
      </c>
      <c r="P387" s="369">
        <v>5354446.3099999996</v>
      </c>
      <c r="Q387" s="369">
        <v>395090.98000000045</v>
      </c>
    </row>
    <row r="388" spans="1:17" ht="12" customHeight="1">
      <c r="A388" s="93"/>
      <c r="B388" s="362" t="s">
        <v>970</v>
      </c>
      <c r="C388" s="363" t="s">
        <v>1274</v>
      </c>
      <c r="D388" s="363" t="s">
        <v>172</v>
      </c>
      <c r="E388" s="364" t="s">
        <v>1271</v>
      </c>
      <c r="F388" s="365">
        <v>5905261.1600000001</v>
      </c>
      <c r="G388" s="364">
        <v>80</v>
      </c>
      <c r="H388" s="365">
        <v>5580526.3499999996</v>
      </c>
      <c r="I388" s="364">
        <v>80</v>
      </c>
      <c r="J388" s="366">
        <v>5769130.1299999999</v>
      </c>
      <c r="K388" s="367">
        <v>80</v>
      </c>
      <c r="L388" s="368">
        <v>6304746.2300000004</v>
      </c>
      <c r="M388" s="366">
        <v>80</v>
      </c>
      <c r="N388" s="366">
        <v>6114649.6300000008</v>
      </c>
      <c r="O388" s="366">
        <v>6057972.1799999997</v>
      </c>
      <c r="P388" s="362">
        <v>5850122.1799999997</v>
      </c>
      <c r="Q388" s="363">
        <v>-209388.47000000067</v>
      </c>
    </row>
    <row r="389" spans="1:17" ht="12" customHeight="1">
      <c r="A389" s="93"/>
      <c r="B389" s="369" t="s">
        <v>1320</v>
      </c>
      <c r="C389" s="369" t="s">
        <v>1274</v>
      </c>
      <c r="D389" s="369" t="s">
        <v>172</v>
      </c>
      <c r="E389" s="370" t="s">
        <v>1271</v>
      </c>
      <c r="F389" s="377">
        <v>1622396.76</v>
      </c>
      <c r="G389" s="378">
        <v>36</v>
      </c>
      <c r="H389" s="371">
        <v>1495122.1</v>
      </c>
      <c r="I389" s="370">
        <v>36</v>
      </c>
      <c r="J389" s="372">
        <v>1431185.77</v>
      </c>
      <c r="K389" s="373">
        <v>36</v>
      </c>
      <c r="L389" s="374">
        <v>1337438.07</v>
      </c>
      <c r="M389" s="372">
        <v>36</v>
      </c>
      <c r="N389" s="372">
        <v>1202300.71</v>
      </c>
      <c r="O389" s="372">
        <v>1282675.73</v>
      </c>
      <c r="P389" s="369">
        <v>1238221.21</v>
      </c>
      <c r="Q389" s="369">
        <v>420096.05000000005</v>
      </c>
    </row>
    <row r="390" spans="1:17" ht="12" customHeight="1">
      <c r="A390" s="93"/>
      <c r="B390" s="362" t="s">
        <v>972</v>
      </c>
      <c r="C390" s="363" t="s">
        <v>1272</v>
      </c>
      <c r="D390" s="363" t="s">
        <v>175</v>
      </c>
      <c r="E390" s="364" t="s">
        <v>1273</v>
      </c>
      <c r="F390" s="365">
        <v>10978966.58</v>
      </c>
      <c r="G390" s="364">
        <v>70</v>
      </c>
      <c r="H390" s="365">
        <v>10678569.08</v>
      </c>
      <c r="I390" s="364">
        <v>70</v>
      </c>
      <c r="J390" s="366">
        <v>9468176.8000000007</v>
      </c>
      <c r="K390" s="367">
        <v>70</v>
      </c>
      <c r="L390" s="368">
        <v>9177847.7300000004</v>
      </c>
      <c r="M390" s="366">
        <v>70</v>
      </c>
      <c r="N390" s="366">
        <v>7291388.4900000002</v>
      </c>
      <c r="O390" s="366">
        <v>6392429.6799999997</v>
      </c>
      <c r="P390" s="362">
        <v>3473202.85</v>
      </c>
      <c r="Q390" s="363">
        <v>3687578.09</v>
      </c>
    </row>
    <row r="391" spans="1:17" ht="12" customHeight="1">
      <c r="A391" s="93"/>
      <c r="B391" s="369" t="s">
        <v>974</v>
      </c>
      <c r="C391" s="369" t="s">
        <v>1272</v>
      </c>
      <c r="D391" s="369" t="s">
        <v>137</v>
      </c>
      <c r="E391" s="370" t="s">
        <v>1273</v>
      </c>
      <c r="F391" s="377">
        <v>11216583.039999999</v>
      </c>
      <c r="G391" s="378">
        <v>82</v>
      </c>
      <c r="H391" s="371">
        <v>11376145.57</v>
      </c>
      <c r="I391" s="370">
        <v>82</v>
      </c>
      <c r="J391" s="372">
        <v>11151377.41</v>
      </c>
      <c r="K391" s="373">
        <v>82</v>
      </c>
      <c r="L391" s="374">
        <v>11957766.99</v>
      </c>
      <c r="M391" s="372">
        <v>82</v>
      </c>
      <c r="N391" s="372">
        <v>12201965.869999999</v>
      </c>
      <c r="O391" s="372">
        <v>12117632.050000001</v>
      </c>
      <c r="P391" s="369">
        <v>12437551.01</v>
      </c>
      <c r="Q391" s="369">
        <v>-985382.83000000007</v>
      </c>
    </row>
    <row r="392" spans="1:17" ht="12" customHeight="1">
      <c r="A392" s="93"/>
      <c r="B392" s="362" t="s">
        <v>976</v>
      </c>
      <c r="C392" s="363" t="s">
        <v>1272</v>
      </c>
      <c r="D392" s="363" t="s">
        <v>128</v>
      </c>
      <c r="E392" s="364" t="s">
        <v>1273</v>
      </c>
      <c r="F392" s="365">
        <v>11346190.800000001</v>
      </c>
      <c r="G392" s="364">
        <v>76</v>
      </c>
      <c r="H392" s="365">
        <v>10854159.34</v>
      </c>
      <c r="I392" s="364">
        <v>76</v>
      </c>
      <c r="J392" s="366">
        <v>10353817.870000001</v>
      </c>
      <c r="K392" s="367">
        <v>76</v>
      </c>
      <c r="L392" s="368">
        <v>10199799.98</v>
      </c>
      <c r="M392" s="366">
        <v>76</v>
      </c>
      <c r="N392" s="366">
        <v>9954499.2300000004</v>
      </c>
      <c r="O392" s="366">
        <v>9923996.0700000003</v>
      </c>
      <c r="P392" s="362">
        <v>10261583.59</v>
      </c>
      <c r="Q392" s="363">
        <v>1391691.5700000003</v>
      </c>
    </row>
    <row r="393" spans="1:17" ht="12" customHeight="1">
      <c r="A393" s="93"/>
      <c r="B393" s="369" t="s">
        <v>978</v>
      </c>
      <c r="C393" s="369" t="s">
        <v>1272</v>
      </c>
      <c r="D393" s="369" t="s">
        <v>109</v>
      </c>
      <c r="E393" s="370" t="s">
        <v>1273</v>
      </c>
      <c r="F393" s="377">
        <v>4680345.59</v>
      </c>
      <c r="G393" s="378">
        <v>40</v>
      </c>
      <c r="H393" s="371">
        <v>5276603.6899999995</v>
      </c>
      <c r="I393" s="370">
        <v>40</v>
      </c>
      <c r="J393" s="372">
        <v>4747950.2300000004</v>
      </c>
      <c r="K393" s="373">
        <v>40</v>
      </c>
      <c r="L393" s="374">
        <v>4351809.57</v>
      </c>
      <c r="M393" s="372">
        <v>40</v>
      </c>
      <c r="N393" s="372">
        <v>4714623.12</v>
      </c>
      <c r="O393" s="372">
        <v>4746029.2300000004</v>
      </c>
      <c r="P393" s="369">
        <v>4638949.42</v>
      </c>
      <c r="Q393" s="369">
        <v>-34277.530000000261</v>
      </c>
    </row>
    <row r="394" spans="1:17" ht="12" customHeight="1">
      <c r="A394" s="93"/>
      <c r="B394" s="362" t="s">
        <v>980</v>
      </c>
      <c r="C394" s="363" t="s">
        <v>1272</v>
      </c>
      <c r="D394" s="363" t="s">
        <v>122</v>
      </c>
      <c r="E394" s="364" t="s">
        <v>1273</v>
      </c>
      <c r="F394" s="365">
        <v>10169831.16</v>
      </c>
      <c r="G394" s="364">
        <v>65</v>
      </c>
      <c r="H394" s="365">
        <v>10457071.960000001</v>
      </c>
      <c r="I394" s="364">
        <v>65</v>
      </c>
      <c r="J394" s="366">
        <v>10066264.550000001</v>
      </c>
      <c r="K394" s="367">
        <v>65</v>
      </c>
      <c r="L394" s="368">
        <v>9793586.3999999985</v>
      </c>
      <c r="M394" s="366">
        <v>65</v>
      </c>
      <c r="N394" s="366">
        <v>9105773.1099999994</v>
      </c>
      <c r="O394" s="366">
        <v>8789096.5500000007</v>
      </c>
      <c r="P394" s="362">
        <v>8810339.4100000001</v>
      </c>
      <c r="Q394" s="363">
        <v>1064058.0500000007</v>
      </c>
    </row>
    <row r="395" spans="1:17" ht="12" customHeight="1">
      <c r="A395" s="93"/>
      <c r="B395" s="369" t="s">
        <v>982</v>
      </c>
      <c r="C395" s="369" t="s">
        <v>1272</v>
      </c>
      <c r="D395" s="369" t="s">
        <v>122</v>
      </c>
      <c r="E395" s="370" t="s">
        <v>1271</v>
      </c>
      <c r="F395" s="377">
        <v>1579222.37</v>
      </c>
      <c r="G395" s="378">
        <v>25</v>
      </c>
      <c r="H395" s="371">
        <v>1739408.31</v>
      </c>
      <c r="I395" s="370">
        <v>25</v>
      </c>
      <c r="J395" s="372">
        <v>1837465.74</v>
      </c>
      <c r="K395" s="373">
        <v>25</v>
      </c>
      <c r="L395" s="374">
        <v>1682168.4</v>
      </c>
      <c r="M395" s="372">
        <v>25</v>
      </c>
      <c r="N395" s="372">
        <v>1501718.47</v>
      </c>
      <c r="O395" s="372">
        <v>1490954.33</v>
      </c>
      <c r="P395" s="369">
        <v>1474822.06</v>
      </c>
      <c r="Q395" s="369">
        <v>77503.90000000014</v>
      </c>
    </row>
    <row r="396" spans="1:17" ht="12" customHeight="1">
      <c r="A396" s="93"/>
      <c r="B396" s="362" t="s">
        <v>984</v>
      </c>
      <c r="C396" s="363" t="s">
        <v>1272</v>
      </c>
      <c r="D396" s="363" t="s">
        <v>122</v>
      </c>
      <c r="E396" s="364" t="s">
        <v>1273</v>
      </c>
      <c r="F396" s="365">
        <v>13998226.239999998</v>
      </c>
      <c r="G396" s="364">
        <v>94</v>
      </c>
      <c r="H396" s="365">
        <v>14503160.58</v>
      </c>
      <c r="I396" s="364">
        <v>94</v>
      </c>
      <c r="J396" s="366">
        <v>14603276.640000001</v>
      </c>
      <c r="K396" s="367">
        <v>94</v>
      </c>
      <c r="L396" s="368">
        <v>15706482.16</v>
      </c>
      <c r="M396" s="366">
        <v>94</v>
      </c>
      <c r="N396" s="366">
        <v>16346192.560000001</v>
      </c>
      <c r="O396" s="366">
        <v>15443719.600000001</v>
      </c>
      <c r="P396" s="362">
        <v>15789142.129999999</v>
      </c>
      <c r="Q396" s="363">
        <v>-2347966.3200000022</v>
      </c>
    </row>
    <row r="397" spans="1:17" ht="12" customHeight="1">
      <c r="A397" s="93"/>
      <c r="B397" s="369" t="s">
        <v>986</v>
      </c>
      <c r="C397" s="369" t="s">
        <v>1272</v>
      </c>
      <c r="D397" s="369" t="s">
        <v>133</v>
      </c>
      <c r="E397" s="370" t="s">
        <v>1271</v>
      </c>
      <c r="F397" s="377">
        <v>7531205.3799999999</v>
      </c>
      <c r="G397" s="378">
        <v>66</v>
      </c>
      <c r="H397" s="371">
        <v>7404825.8700000001</v>
      </c>
      <c r="I397" s="370">
        <v>66</v>
      </c>
      <c r="J397" s="372">
        <v>6930058.2800000003</v>
      </c>
      <c r="K397" s="373">
        <v>66</v>
      </c>
      <c r="L397" s="374">
        <v>7202376.1999999993</v>
      </c>
      <c r="M397" s="372">
        <v>66</v>
      </c>
      <c r="N397" s="372">
        <v>7163239.9000000004</v>
      </c>
      <c r="O397" s="372">
        <v>7106209.29</v>
      </c>
      <c r="P397" s="369">
        <v>6814484.8100000005</v>
      </c>
      <c r="Q397" s="369">
        <v>367965.47999999952</v>
      </c>
    </row>
    <row r="398" spans="1:17" ht="12" customHeight="1">
      <c r="A398" s="93"/>
      <c r="B398" s="362" t="s">
        <v>988</v>
      </c>
      <c r="C398" s="363" t="s">
        <v>1274</v>
      </c>
      <c r="D398" s="363" t="s">
        <v>105</v>
      </c>
      <c r="E398" s="364" t="s">
        <v>1271</v>
      </c>
      <c r="F398" s="365">
        <v>5115164.3100000005</v>
      </c>
      <c r="G398" s="364">
        <v>50</v>
      </c>
      <c r="H398" s="365">
        <v>4596926.4700000007</v>
      </c>
      <c r="I398" s="364">
        <v>50</v>
      </c>
      <c r="J398" s="366">
        <v>4646215.9399999995</v>
      </c>
      <c r="K398" s="367">
        <v>50</v>
      </c>
      <c r="L398" s="368">
        <v>4751929.46</v>
      </c>
      <c r="M398" s="366">
        <v>50</v>
      </c>
      <c r="N398" s="366">
        <v>4414456.53</v>
      </c>
      <c r="O398" s="366">
        <v>4356193.84</v>
      </c>
      <c r="P398" s="362">
        <v>4219291.68</v>
      </c>
      <c r="Q398" s="363">
        <v>700707.78000000026</v>
      </c>
    </row>
    <row r="399" spans="1:17" ht="12" customHeight="1">
      <c r="A399" s="93"/>
      <c r="B399" s="369" t="s">
        <v>1312</v>
      </c>
      <c r="C399" s="369" t="s">
        <v>1272</v>
      </c>
      <c r="D399" s="369" t="s">
        <v>116</v>
      </c>
      <c r="E399" s="370" t="s">
        <v>1273</v>
      </c>
      <c r="F399" s="377">
        <v>11292298.620000001</v>
      </c>
      <c r="G399" s="378">
        <v>52</v>
      </c>
      <c r="H399" s="371">
        <v>11131482.92</v>
      </c>
      <c r="I399" s="370">
        <v>52</v>
      </c>
      <c r="J399" s="372">
        <v>9655259.75</v>
      </c>
      <c r="K399" s="373">
        <v>52</v>
      </c>
      <c r="L399" s="374">
        <v>9797061.2800000012</v>
      </c>
      <c r="M399" s="372">
        <v>52</v>
      </c>
      <c r="N399" s="372">
        <v>8692374.5</v>
      </c>
      <c r="O399" s="372">
        <v>7924321.7999999998</v>
      </c>
      <c r="P399" s="369">
        <v>7080822.7300000004</v>
      </c>
      <c r="Q399" s="369">
        <v>2599924.120000001</v>
      </c>
    </row>
    <row r="400" spans="1:17" ht="12" customHeight="1">
      <c r="A400" s="93"/>
      <c r="B400" s="362" t="s">
        <v>990</v>
      </c>
      <c r="C400" s="363" t="s">
        <v>1274</v>
      </c>
      <c r="D400" s="363" t="s">
        <v>149</v>
      </c>
      <c r="E400" s="364" t="s">
        <v>1271</v>
      </c>
      <c r="F400" s="365">
        <v>3707087.39</v>
      </c>
      <c r="G400" s="364">
        <v>50</v>
      </c>
      <c r="H400" s="365">
        <v>3958739.44</v>
      </c>
      <c r="I400" s="364">
        <v>50</v>
      </c>
      <c r="J400" s="366">
        <v>3940785.17</v>
      </c>
      <c r="K400" s="367">
        <v>50</v>
      </c>
      <c r="L400" s="368">
        <v>3682561.06</v>
      </c>
      <c r="M400" s="366">
        <v>50</v>
      </c>
      <c r="N400" s="366">
        <v>3635162.7199999997</v>
      </c>
      <c r="O400" s="366">
        <v>3744552.8600000003</v>
      </c>
      <c r="P400" s="362">
        <v>3533908.2</v>
      </c>
      <c r="Q400" s="363">
        <v>71924.670000000391</v>
      </c>
    </row>
    <row r="401" spans="1:17" ht="12" customHeight="1">
      <c r="A401" s="93"/>
      <c r="B401" s="369" t="s">
        <v>992</v>
      </c>
      <c r="C401" s="369" t="s">
        <v>1274</v>
      </c>
      <c r="D401" s="369" t="s">
        <v>127</v>
      </c>
      <c r="E401" s="370" t="s">
        <v>1273</v>
      </c>
      <c r="F401" s="377">
        <v>3853552.2699999996</v>
      </c>
      <c r="G401" s="378">
        <v>58</v>
      </c>
      <c r="H401" s="371">
        <v>3998756.56</v>
      </c>
      <c r="I401" s="370">
        <v>60</v>
      </c>
      <c r="J401" s="372">
        <v>3601300.84</v>
      </c>
      <c r="K401" s="373">
        <v>60</v>
      </c>
      <c r="L401" s="374">
        <v>3849484.4299999997</v>
      </c>
      <c r="M401" s="372">
        <v>60</v>
      </c>
      <c r="N401" s="372">
        <v>3594714.3499999996</v>
      </c>
      <c r="O401" s="372">
        <v>3668863.1500000004</v>
      </c>
      <c r="P401" s="369">
        <v>4033312.46</v>
      </c>
      <c r="Q401" s="369">
        <v>258837.91999999993</v>
      </c>
    </row>
    <row r="402" spans="1:17" ht="12" customHeight="1">
      <c r="A402" s="93"/>
      <c r="B402" s="362" t="s">
        <v>994</v>
      </c>
      <c r="C402" s="363" t="s">
        <v>1272</v>
      </c>
      <c r="D402" s="363" t="s">
        <v>146</v>
      </c>
      <c r="E402" s="364" t="s">
        <v>1273</v>
      </c>
      <c r="F402" s="365">
        <v>3676345.52</v>
      </c>
      <c r="G402" s="364">
        <v>48</v>
      </c>
      <c r="H402" s="365">
        <v>3963690.55</v>
      </c>
      <c r="I402" s="364">
        <v>48</v>
      </c>
      <c r="J402" s="366">
        <v>3478417.55</v>
      </c>
      <c r="K402" s="367">
        <v>48</v>
      </c>
      <c r="L402" s="368">
        <v>3561416.5199999996</v>
      </c>
      <c r="M402" s="366">
        <v>48</v>
      </c>
      <c r="N402" s="366">
        <v>3534184.6500000004</v>
      </c>
      <c r="O402" s="366">
        <v>3231551.05</v>
      </c>
      <c r="P402" s="362">
        <v>2787827.13</v>
      </c>
      <c r="Q402" s="363">
        <v>142160.86999999965</v>
      </c>
    </row>
    <row r="403" spans="1:17" ht="12" customHeight="1">
      <c r="A403" s="93"/>
      <c r="B403" s="369" t="s">
        <v>996</v>
      </c>
      <c r="C403" s="369" t="s">
        <v>1274</v>
      </c>
      <c r="D403" s="369" t="s">
        <v>129</v>
      </c>
      <c r="E403" s="370" t="s">
        <v>1271</v>
      </c>
      <c r="F403" s="377">
        <v>6155638.0500000007</v>
      </c>
      <c r="G403" s="378">
        <v>77</v>
      </c>
      <c r="H403" s="371">
        <v>5935619.5899999999</v>
      </c>
      <c r="I403" s="370">
        <v>77</v>
      </c>
      <c r="J403" s="372">
        <v>6049052.8100000005</v>
      </c>
      <c r="K403" s="373">
        <v>77</v>
      </c>
      <c r="L403" s="374">
        <v>5858966.3799999999</v>
      </c>
      <c r="M403" s="372">
        <v>77</v>
      </c>
      <c r="N403" s="372">
        <v>5305737.53</v>
      </c>
      <c r="O403" s="372">
        <v>5248101.43</v>
      </c>
      <c r="P403" s="369">
        <v>5145206.24</v>
      </c>
      <c r="Q403" s="369">
        <v>849900.52000000048</v>
      </c>
    </row>
    <row r="404" spans="1:17" ht="12" customHeight="1">
      <c r="A404" s="93"/>
      <c r="B404" s="362" t="s">
        <v>998</v>
      </c>
      <c r="C404" s="363" t="s">
        <v>1274</v>
      </c>
      <c r="D404" s="363" t="s">
        <v>130</v>
      </c>
      <c r="E404" s="364" t="s">
        <v>1271</v>
      </c>
      <c r="F404" s="365">
        <v>4610825.2200000007</v>
      </c>
      <c r="G404" s="364">
        <v>56</v>
      </c>
      <c r="H404" s="365">
        <v>4711166.38</v>
      </c>
      <c r="I404" s="364">
        <v>56</v>
      </c>
      <c r="J404" s="366">
        <v>4594270.07</v>
      </c>
      <c r="K404" s="367">
        <v>56</v>
      </c>
      <c r="L404" s="368">
        <v>4591310.0299999993</v>
      </c>
      <c r="M404" s="366">
        <v>56</v>
      </c>
      <c r="N404" s="366">
        <v>4377234.71</v>
      </c>
      <c r="O404" s="366">
        <v>3874152.16</v>
      </c>
      <c r="P404" s="362">
        <v>3657313.19</v>
      </c>
      <c r="Q404" s="363">
        <v>233590.51000000071</v>
      </c>
    </row>
    <row r="405" spans="1:17" ht="12" customHeight="1">
      <c r="A405" s="93"/>
      <c r="B405" s="369" t="s">
        <v>1000</v>
      </c>
      <c r="C405" s="369" t="s">
        <v>1274</v>
      </c>
      <c r="D405" s="369" t="s">
        <v>130</v>
      </c>
      <c r="E405" s="370" t="s">
        <v>1271</v>
      </c>
      <c r="F405" s="377">
        <v>6659067.8099999996</v>
      </c>
      <c r="G405" s="378">
        <v>80</v>
      </c>
      <c r="H405" s="371">
        <v>6153739.0300000003</v>
      </c>
      <c r="I405" s="370">
        <v>80</v>
      </c>
      <c r="J405" s="372">
        <v>5876828.25</v>
      </c>
      <c r="K405" s="373">
        <v>80</v>
      </c>
      <c r="L405" s="374">
        <v>5483670.6099999994</v>
      </c>
      <c r="M405" s="372">
        <v>80</v>
      </c>
      <c r="N405" s="372">
        <v>5960106.0300000003</v>
      </c>
      <c r="O405" s="372">
        <v>5772560.1299999999</v>
      </c>
      <c r="P405" s="369">
        <v>5684939.1200000001</v>
      </c>
      <c r="Q405" s="369">
        <v>698961.77999999933</v>
      </c>
    </row>
    <row r="406" spans="1:17" ht="12" customHeight="1">
      <c r="A406" s="93"/>
      <c r="B406" s="362" t="s">
        <v>1002</v>
      </c>
      <c r="C406" s="363" t="s">
        <v>1274</v>
      </c>
      <c r="D406" s="363" t="s">
        <v>130</v>
      </c>
      <c r="E406" s="364" t="s">
        <v>1273</v>
      </c>
      <c r="F406" s="365">
        <v>4575968.34</v>
      </c>
      <c r="G406" s="364">
        <v>43</v>
      </c>
      <c r="H406" s="365">
        <v>4728859.26</v>
      </c>
      <c r="I406" s="364">
        <v>43</v>
      </c>
      <c r="J406" s="366">
        <v>4583283.3100000005</v>
      </c>
      <c r="K406" s="367">
        <v>43</v>
      </c>
      <c r="L406" s="368">
        <v>4916951.6400000006</v>
      </c>
      <c r="M406" s="366">
        <v>43</v>
      </c>
      <c r="N406" s="366">
        <v>5061719.72</v>
      </c>
      <c r="O406" s="366">
        <v>5321680.75</v>
      </c>
      <c r="P406" s="362">
        <v>5273552.34</v>
      </c>
      <c r="Q406" s="363">
        <v>-485751.37999999989</v>
      </c>
    </row>
    <row r="407" spans="1:17" ht="12" customHeight="1">
      <c r="A407" s="93"/>
      <c r="B407" s="369" t="s">
        <v>1004</v>
      </c>
      <c r="C407" s="369" t="s">
        <v>1272</v>
      </c>
      <c r="D407" s="369" t="s">
        <v>142</v>
      </c>
      <c r="E407" s="370" t="s">
        <v>1273</v>
      </c>
      <c r="F407" s="377">
        <v>14515825.079999998</v>
      </c>
      <c r="G407" s="378">
        <v>87</v>
      </c>
      <c r="H407" s="371">
        <v>14860085.57</v>
      </c>
      <c r="I407" s="370">
        <v>87</v>
      </c>
      <c r="J407" s="372">
        <v>13518634.73</v>
      </c>
      <c r="K407" s="373">
        <v>84</v>
      </c>
      <c r="L407" s="374">
        <v>13768065.18</v>
      </c>
      <c r="M407" s="372">
        <v>84</v>
      </c>
      <c r="N407" s="372">
        <v>13796238.43</v>
      </c>
      <c r="O407" s="372">
        <v>12598472.780000001</v>
      </c>
      <c r="P407" s="369">
        <v>13665330.609999999</v>
      </c>
      <c r="Q407" s="369">
        <v>719586.64999999851</v>
      </c>
    </row>
    <row r="408" spans="1:17" ht="12" customHeight="1">
      <c r="A408" s="93"/>
      <c r="B408" s="362" t="s">
        <v>1006</v>
      </c>
      <c r="C408" s="363" t="s">
        <v>1272</v>
      </c>
      <c r="D408" s="363" t="s">
        <v>106</v>
      </c>
      <c r="E408" s="364" t="s">
        <v>1273</v>
      </c>
      <c r="F408" s="365">
        <v>6977827.9500000002</v>
      </c>
      <c r="G408" s="364">
        <v>65</v>
      </c>
      <c r="H408" s="365">
        <v>7570203.6299999999</v>
      </c>
      <c r="I408" s="364">
        <v>65</v>
      </c>
      <c r="J408" s="366">
        <v>7521055.0399999991</v>
      </c>
      <c r="K408" s="367">
        <v>65</v>
      </c>
      <c r="L408" s="368">
        <v>7489793.9800000004</v>
      </c>
      <c r="M408" s="366">
        <v>65</v>
      </c>
      <c r="N408" s="366">
        <v>7462685.4800000004</v>
      </c>
      <c r="O408" s="366">
        <v>7484782.0999999996</v>
      </c>
      <c r="P408" s="362">
        <v>7764249.5700000003</v>
      </c>
      <c r="Q408" s="363">
        <v>-484857.53000000026</v>
      </c>
    </row>
    <row r="409" spans="1:17" ht="12" customHeight="1">
      <c r="A409" s="93"/>
      <c r="B409" s="369" t="s">
        <v>1008</v>
      </c>
      <c r="C409" s="369" t="s">
        <v>1272</v>
      </c>
      <c r="D409" s="369" t="s">
        <v>152</v>
      </c>
      <c r="E409" s="370" t="s">
        <v>1273</v>
      </c>
      <c r="F409" s="377">
        <v>18610967.890000001</v>
      </c>
      <c r="G409" s="378">
        <v>96</v>
      </c>
      <c r="H409" s="371">
        <v>17509418.18</v>
      </c>
      <c r="I409" s="370">
        <v>96</v>
      </c>
      <c r="J409" s="372">
        <v>17192456.460000001</v>
      </c>
      <c r="K409" s="373">
        <v>96</v>
      </c>
      <c r="L409" s="374">
        <v>17258706.890000001</v>
      </c>
      <c r="M409" s="372">
        <v>96</v>
      </c>
      <c r="N409" s="372">
        <v>18595204.98</v>
      </c>
      <c r="O409" s="372">
        <v>16983406.23</v>
      </c>
      <c r="P409" s="369">
        <v>16545176.9</v>
      </c>
      <c r="Q409" s="369">
        <v>15762.910000000149</v>
      </c>
    </row>
    <row r="410" spans="1:17" ht="12" customHeight="1">
      <c r="A410" s="93"/>
      <c r="B410" s="362" t="s">
        <v>1010</v>
      </c>
      <c r="C410" s="363" t="s">
        <v>1272</v>
      </c>
      <c r="D410" s="363" t="s">
        <v>155</v>
      </c>
      <c r="E410" s="364" t="s">
        <v>1273</v>
      </c>
      <c r="F410" s="365">
        <v>5728945.3200000003</v>
      </c>
      <c r="G410" s="364">
        <v>39</v>
      </c>
      <c r="H410" s="365">
        <v>6072530.3900000006</v>
      </c>
      <c r="I410" s="364">
        <v>39</v>
      </c>
      <c r="J410" s="366">
        <v>5787108.1600000001</v>
      </c>
      <c r="K410" s="367">
        <v>39</v>
      </c>
      <c r="L410" s="368">
        <v>5849079.8799999999</v>
      </c>
      <c r="M410" s="366">
        <v>39</v>
      </c>
      <c r="N410" s="366">
        <v>5723193.46</v>
      </c>
      <c r="O410" s="366">
        <v>5910673.1500000004</v>
      </c>
      <c r="P410" s="362">
        <v>5574666.6500000004</v>
      </c>
      <c r="Q410" s="363">
        <v>5751.8600000003353</v>
      </c>
    </row>
    <row r="411" spans="1:17" ht="12" customHeight="1">
      <c r="A411" s="93"/>
      <c r="B411" s="369" t="s">
        <v>1012</v>
      </c>
      <c r="C411" s="369" t="s">
        <v>1272</v>
      </c>
      <c r="D411" s="369" t="s">
        <v>124</v>
      </c>
      <c r="E411" s="370" t="s">
        <v>1271</v>
      </c>
      <c r="F411" s="377">
        <v>980801.77</v>
      </c>
      <c r="G411" s="378">
        <v>40</v>
      </c>
      <c r="H411" s="371">
        <v>1153439.6499999999</v>
      </c>
      <c r="I411" s="370">
        <v>40</v>
      </c>
      <c r="J411" s="372">
        <v>1171169.45</v>
      </c>
      <c r="K411" s="373">
        <v>40</v>
      </c>
      <c r="L411" s="374">
        <v>1212965.4500000002</v>
      </c>
      <c r="M411" s="372">
        <v>40</v>
      </c>
      <c r="N411" s="372">
        <v>1187876.52</v>
      </c>
      <c r="O411" s="372">
        <v>1197831.73</v>
      </c>
      <c r="P411" s="369">
        <v>1143229.5</v>
      </c>
      <c r="Q411" s="369">
        <v>-207074.75</v>
      </c>
    </row>
    <row r="412" spans="1:17" ht="12" customHeight="1">
      <c r="A412" s="93"/>
      <c r="B412" s="362" t="s">
        <v>1014</v>
      </c>
      <c r="C412" s="363" t="s">
        <v>1274</v>
      </c>
      <c r="D412" s="363" t="s">
        <v>129</v>
      </c>
      <c r="E412" s="364" t="s">
        <v>1273</v>
      </c>
      <c r="F412" s="365">
        <v>9854973.1699999999</v>
      </c>
      <c r="G412" s="364">
        <v>67</v>
      </c>
      <c r="H412" s="365">
        <v>9971511.4199999999</v>
      </c>
      <c r="I412" s="364">
        <v>67</v>
      </c>
      <c r="J412" s="366">
        <v>9576442.4299999997</v>
      </c>
      <c r="K412" s="367">
        <v>67</v>
      </c>
      <c r="L412" s="368">
        <v>9431422.6500000004</v>
      </c>
      <c r="M412" s="366">
        <v>67</v>
      </c>
      <c r="N412" s="366">
        <v>9069623.4800000004</v>
      </c>
      <c r="O412" s="366">
        <v>8934787.3499999996</v>
      </c>
      <c r="P412" s="362">
        <v>8603422.6600000001</v>
      </c>
      <c r="Q412" s="363">
        <v>785349.68999999948</v>
      </c>
    </row>
    <row r="413" spans="1:17" ht="12" customHeight="1">
      <c r="A413" s="93"/>
      <c r="B413" s="369" t="s">
        <v>1016</v>
      </c>
      <c r="C413" s="369" t="s">
        <v>1274</v>
      </c>
      <c r="D413" s="369" t="s">
        <v>172</v>
      </c>
      <c r="E413" s="370" t="s">
        <v>1271</v>
      </c>
      <c r="F413" s="377">
        <v>5761282.8200000003</v>
      </c>
      <c r="G413" s="378">
        <v>74</v>
      </c>
      <c r="H413" s="371">
        <v>5803665.3000000007</v>
      </c>
      <c r="I413" s="370">
        <v>74</v>
      </c>
      <c r="J413" s="372">
        <v>6086120.8600000003</v>
      </c>
      <c r="K413" s="373">
        <v>74</v>
      </c>
      <c r="L413" s="374">
        <v>6132348.4199999999</v>
      </c>
      <c r="M413" s="372">
        <v>74</v>
      </c>
      <c r="N413" s="372">
        <v>5875837.9299999997</v>
      </c>
      <c r="O413" s="372">
        <v>5862145.04</v>
      </c>
      <c r="P413" s="369">
        <v>6375711.3899999997</v>
      </c>
      <c r="Q413" s="369">
        <v>-114555.1099999994</v>
      </c>
    </row>
    <row r="414" spans="1:17" ht="12" customHeight="1">
      <c r="A414" s="93"/>
      <c r="B414" s="362" t="s">
        <v>1279</v>
      </c>
      <c r="C414" s="363" t="s">
        <v>1274</v>
      </c>
      <c r="D414" s="363" t="s">
        <v>105</v>
      </c>
      <c r="E414" s="364" t="s">
        <v>1271</v>
      </c>
      <c r="F414" s="365">
        <v>2558386.2400000002</v>
      </c>
      <c r="G414" s="364">
        <v>35</v>
      </c>
      <c r="H414" s="365">
        <v>2655874.5499999998</v>
      </c>
      <c r="I414" s="364">
        <v>35</v>
      </c>
      <c r="J414" s="366">
        <v>2717285.6500000004</v>
      </c>
      <c r="K414" s="367">
        <v>35</v>
      </c>
      <c r="L414" s="368">
        <v>2744004.4699999997</v>
      </c>
      <c r="M414" s="366">
        <v>35</v>
      </c>
      <c r="N414" s="366">
        <v>2882122.9299999997</v>
      </c>
      <c r="O414" s="366">
        <v>2659663.62</v>
      </c>
      <c r="P414" s="362">
        <v>2440452.48</v>
      </c>
      <c r="Q414" s="363">
        <v>-323736.68999999948</v>
      </c>
    </row>
    <row r="415" spans="1:17" ht="12" customHeight="1">
      <c r="A415" s="93"/>
      <c r="B415" s="369" t="s">
        <v>1020</v>
      </c>
      <c r="C415" s="369" t="s">
        <v>1272</v>
      </c>
      <c r="D415" s="369" t="s">
        <v>128</v>
      </c>
      <c r="E415" s="370" t="s">
        <v>1271</v>
      </c>
      <c r="F415" s="377">
        <v>5783672.9699999997</v>
      </c>
      <c r="G415" s="378">
        <v>55</v>
      </c>
      <c r="H415" s="371">
        <v>5983172.8000000007</v>
      </c>
      <c r="I415" s="370">
        <v>55</v>
      </c>
      <c r="J415" s="372">
        <v>5662045.6500000004</v>
      </c>
      <c r="K415" s="373">
        <v>55</v>
      </c>
      <c r="L415" s="374">
        <v>5077885.22</v>
      </c>
      <c r="M415" s="372">
        <v>55</v>
      </c>
      <c r="N415" s="372">
        <v>4864834.8100000005</v>
      </c>
      <c r="O415" s="372">
        <v>4019294.4400000004</v>
      </c>
      <c r="P415" s="369">
        <v>3798022.91</v>
      </c>
      <c r="Q415" s="369">
        <v>918838.15999999922</v>
      </c>
    </row>
    <row r="416" spans="1:17" ht="12" customHeight="1">
      <c r="A416" s="93"/>
      <c r="B416" s="362" t="s">
        <v>1024</v>
      </c>
      <c r="C416" s="363" t="s">
        <v>1272</v>
      </c>
      <c r="D416" s="363" t="s">
        <v>112</v>
      </c>
      <c r="E416" s="364" t="s">
        <v>1273</v>
      </c>
      <c r="F416" s="365">
        <v>10461298.109999999</v>
      </c>
      <c r="G416" s="364">
        <v>50</v>
      </c>
      <c r="H416" s="365">
        <v>9856387.629999999</v>
      </c>
      <c r="I416" s="364">
        <v>50</v>
      </c>
      <c r="J416" s="366">
        <v>8560823.3200000003</v>
      </c>
      <c r="K416" s="367">
        <v>50</v>
      </c>
      <c r="L416" s="368">
        <v>9418716.9800000004</v>
      </c>
      <c r="M416" s="366">
        <v>50</v>
      </c>
      <c r="N416" s="366">
        <v>10025341.34</v>
      </c>
      <c r="O416" s="366">
        <v>9761350.1900000013</v>
      </c>
      <c r="P416" s="362">
        <v>10180237.09</v>
      </c>
      <c r="Q416" s="363">
        <v>435956.76999999955</v>
      </c>
    </row>
    <row r="417" spans="1:17" ht="12" customHeight="1">
      <c r="A417" s="93"/>
      <c r="B417" s="369" t="s">
        <v>1026</v>
      </c>
      <c r="C417" s="369" t="s">
        <v>1272</v>
      </c>
      <c r="D417" s="369" t="s">
        <v>112</v>
      </c>
      <c r="E417" s="370" t="s">
        <v>1271</v>
      </c>
      <c r="F417" s="377">
        <v>5167145.47</v>
      </c>
      <c r="G417" s="378">
        <v>35</v>
      </c>
      <c r="H417" s="371">
        <v>5176791.62</v>
      </c>
      <c r="I417" s="370">
        <v>35</v>
      </c>
      <c r="J417" s="372">
        <v>5094105.24</v>
      </c>
      <c r="K417" s="373">
        <v>35</v>
      </c>
      <c r="L417" s="374">
        <v>5632029.9399999995</v>
      </c>
      <c r="M417" s="372">
        <v>35</v>
      </c>
      <c r="N417" s="372">
        <v>5216154.26</v>
      </c>
      <c r="O417" s="372">
        <v>5508948.3900000006</v>
      </c>
      <c r="P417" s="369">
        <v>5402110.4000000004</v>
      </c>
      <c r="Q417" s="369">
        <v>-49008.790000000037</v>
      </c>
    </row>
    <row r="418" spans="1:17" ht="12" customHeight="1">
      <c r="A418" s="93"/>
      <c r="B418" s="362" t="s">
        <v>1028</v>
      </c>
      <c r="C418" s="363" t="s">
        <v>1274</v>
      </c>
      <c r="D418" s="363" t="s">
        <v>160</v>
      </c>
      <c r="E418" s="364" t="s">
        <v>1271</v>
      </c>
      <c r="F418" s="365">
        <v>1399036.97</v>
      </c>
      <c r="G418" s="364">
        <v>35</v>
      </c>
      <c r="H418" s="365">
        <v>1626347.58</v>
      </c>
      <c r="I418" s="364">
        <v>35</v>
      </c>
      <c r="J418" s="366">
        <v>1495068.46</v>
      </c>
      <c r="K418" s="367">
        <v>35</v>
      </c>
      <c r="L418" s="368">
        <v>1356117.63</v>
      </c>
      <c r="M418" s="366">
        <v>35</v>
      </c>
      <c r="N418" s="366">
        <v>1654212.4700000002</v>
      </c>
      <c r="O418" s="366">
        <v>1644942.54</v>
      </c>
      <c r="P418" s="362">
        <v>1603513.02</v>
      </c>
      <c r="Q418" s="363">
        <v>-255175.50000000023</v>
      </c>
    </row>
    <row r="419" spans="1:17" ht="12" customHeight="1">
      <c r="A419" s="93"/>
      <c r="B419" s="369" t="s">
        <v>1030</v>
      </c>
      <c r="C419" s="369" t="s">
        <v>1274</v>
      </c>
      <c r="D419" s="369" t="s">
        <v>129</v>
      </c>
      <c r="E419" s="370" t="s">
        <v>1271</v>
      </c>
      <c r="F419" s="377">
        <v>3361573.58</v>
      </c>
      <c r="G419" s="378">
        <v>35</v>
      </c>
      <c r="H419" s="371">
        <v>3296282</v>
      </c>
      <c r="I419" s="370">
        <v>35</v>
      </c>
      <c r="J419" s="372">
        <v>3422310.5700000003</v>
      </c>
      <c r="K419" s="373">
        <v>35</v>
      </c>
      <c r="L419" s="374">
        <v>3581125.71</v>
      </c>
      <c r="M419" s="372">
        <v>35</v>
      </c>
      <c r="N419" s="372">
        <v>3368159.87</v>
      </c>
      <c r="O419" s="372">
        <v>3338996.37</v>
      </c>
      <c r="P419" s="369">
        <v>3089224.69</v>
      </c>
      <c r="Q419" s="369">
        <v>-6586.2900000000373</v>
      </c>
    </row>
    <row r="420" spans="1:17" ht="12" customHeight="1">
      <c r="A420" s="93"/>
      <c r="B420" s="362" t="s">
        <v>1034</v>
      </c>
      <c r="C420" s="363" t="s">
        <v>1272</v>
      </c>
      <c r="D420" s="363" t="s">
        <v>161</v>
      </c>
      <c r="E420" s="364" t="s">
        <v>1271</v>
      </c>
      <c r="F420" s="365">
        <v>2301889.7999999998</v>
      </c>
      <c r="G420" s="364">
        <v>53</v>
      </c>
      <c r="H420" s="365">
        <v>2194984.4699999997</v>
      </c>
      <c r="I420" s="364">
        <v>49</v>
      </c>
      <c r="J420" s="366">
        <v>1992262.6</v>
      </c>
      <c r="K420" s="367">
        <v>60</v>
      </c>
      <c r="L420" s="368">
        <v>2086413.0299999998</v>
      </c>
      <c r="M420" s="366">
        <v>60</v>
      </c>
      <c r="N420" s="366">
        <v>1978200.9</v>
      </c>
      <c r="O420" s="366">
        <v>2058809.58</v>
      </c>
      <c r="P420" s="362">
        <v>2118440.84</v>
      </c>
      <c r="Q420" s="363">
        <v>323688.89999999991</v>
      </c>
    </row>
    <row r="421" spans="1:17" ht="12" customHeight="1">
      <c r="A421" s="93"/>
      <c r="B421" s="369" t="s">
        <v>1036</v>
      </c>
      <c r="C421" s="369" t="s">
        <v>1272</v>
      </c>
      <c r="D421" s="369" t="s">
        <v>137</v>
      </c>
      <c r="E421" s="370" t="s">
        <v>1271</v>
      </c>
      <c r="F421" s="377">
        <v>2362503.44</v>
      </c>
      <c r="G421" s="378">
        <v>83</v>
      </c>
      <c r="H421" s="371">
        <v>2089532.9300000002</v>
      </c>
      <c r="I421" s="370">
        <v>83</v>
      </c>
      <c r="J421" s="372">
        <v>2108070.2999999998</v>
      </c>
      <c r="K421" s="373">
        <v>83</v>
      </c>
      <c r="L421" s="374">
        <v>2223654.96</v>
      </c>
      <c r="M421" s="372">
        <v>83</v>
      </c>
      <c r="N421" s="372">
        <v>2294691.0999999996</v>
      </c>
      <c r="O421" s="372">
        <v>2177115.04</v>
      </c>
      <c r="P421" s="369">
        <v>2237740.33</v>
      </c>
      <c r="Q421" s="369">
        <v>67812.340000000317</v>
      </c>
    </row>
    <row r="422" spans="1:17" ht="12" customHeight="1">
      <c r="A422" s="93"/>
      <c r="B422" s="362" t="s">
        <v>1038</v>
      </c>
      <c r="C422" s="363" t="s">
        <v>1272</v>
      </c>
      <c r="D422" s="363" t="s">
        <v>138</v>
      </c>
      <c r="E422" s="364" t="s">
        <v>1273</v>
      </c>
      <c r="F422" s="365">
        <v>12008813.859999999</v>
      </c>
      <c r="G422" s="364">
        <v>85</v>
      </c>
      <c r="H422" s="365">
        <v>12368946.57</v>
      </c>
      <c r="I422" s="364">
        <v>85</v>
      </c>
      <c r="J422" s="366">
        <v>12246764.939999999</v>
      </c>
      <c r="K422" s="367">
        <v>85</v>
      </c>
      <c r="L422" s="368">
        <v>11956837.030000001</v>
      </c>
      <c r="M422" s="366">
        <v>85</v>
      </c>
      <c r="N422" s="366">
        <v>12876586.310000001</v>
      </c>
      <c r="O422" s="366">
        <v>12047606.039999999</v>
      </c>
      <c r="P422" s="362">
        <v>12579764.18</v>
      </c>
      <c r="Q422" s="363">
        <v>-867772.45000000112</v>
      </c>
    </row>
    <row r="423" spans="1:17" ht="12" customHeight="1">
      <c r="A423" s="93"/>
      <c r="B423" s="369" t="s">
        <v>1042</v>
      </c>
      <c r="C423" s="369" t="s">
        <v>1274</v>
      </c>
      <c r="D423" s="369" t="s">
        <v>172</v>
      </c>
      <c r="E423" s="370" t="s">
        <v>1273</v>
      </c>
      <c r="F423" s="377">
        <v>2026016.75</v>
      </c>
      <c r="G423" s="378">
        <v>23</v>
      </c>
      <c r="H423" s="371">
        <v>2160900.5300000003</v>
      </c>
      <c r="I423" s="370">
        <v>23</v>
      </c>
      <c r="J423" s="372">
        <v>2285048.83</v>
      </c>
      <c r="K423" s="373">
        <v>23</v>
      </c>
      <c r="L423" s="374">
        <v>2350597.59</v>
      </c>
      <c r="M423" s="372">
        <v>23</v>
      </c>
      <c r="N423" s="372">
        <v>2344370.89</v>
      </c>
      <c r="O423" s="372">
        <v>2309876.8899999997</v>
      </c>
      <c r="P423" s="369">
        <v>2294804.5499999998</v>
      </c>
      <c r="Q423" s="369">
        <v>-318354.14000000013</v>
      </c>
    </row>
    <row r="424" spans="1:17" ht="12" customHeight="1">
      <c r="A424" s="93"/>
      <c r="B424" s="362" t="s">
        <v>1313</v>
      </c>
      <c r="C424" s="363" t="s">
        <v>1274</v>
      </c>
      <c r="D424" s="363" t="s">
        <v>103</v>
      </c>
      <c r="E424" s="364" t="s">
        <v>1273</v>
      </c>
      <c r="F424" s="365">
        <v>1050909.05</v>
      </c>
      <c r="G424" s="364">
        <v>18</v>
      </c>
      <c r="H424" s="365">
        <v>1189273.7</v>
      </c>
      <c r="I424" s="364">
        <v>18</v>
      </c>
      <c r="J424" s="366">
        <v>1198672.6000000001</v>
      </c>
      <c r="K424" s="367">
        <v>18</v>
      </c>
      <c r="L424" s="368">
        <v>1078870.26</v>
      </c>
      <c r="M424" s="366">
        <v>18</v>
      </c>
      <c r="N424" s="366">
        <v>1245388.81</v>
      </c>
      <c r="O424" s="366">
        <v>1141011.4500000002</v>
      </c>
      <c r="P424" s="362">
        <v>1049542.5</v>
      </c>
      <c r="Q424" s="363">
        <v>-194479.76</v>
      </c>
    </row>
    <row r="425" spans="1:17" ht="12" customHeight="1">
      <c r="A425" s="93"/>
      <c r="B425" s="369" t="s">
        <v>1044</v>
      </c>
      <c r="C425" s="369" t="s">
        <v>1274</v>
      </c>
      <c r="D425" s="369" t="s">
        <v>160</v>
      </c>
      <c r="E425" s="370" t="s">
        <v>1271</v>
      </c>
      <c r="F425" s="377">
        <v>2674469.2200000002</v>
      </c>
      <c r="G425" s="378">
        <v>45</v>
      </c>
      <c r="H425" s="371">
        <v>2834587.8899999997</v>
      </c>
      <c r="I425" s="370">
        <v>45</v>
      </c>
      <c r="J425" s="372">
        <v>2688736.2800000003</v>
      </c>
      <c r="K425" s="373">
        <v>45</v>
      </c>
      <c r="L425" s="374">
        <v>2449583.0499999998</v>
      </c>
      <c r="M425" s="372">
        <v>30</v>
      </c>
      <c r="N425" s="372">
        <v>1794376.8399999999</v>
      </c>
      <c r="O425" s="372">
        <v>1747104.6400000001</v>
      </c>
      <c r="P425" s="369">
        <v>1805488.26</v>
      </c>
      <c r="Q425" s="369">
        <v>880092.38000000035</v>
      </c>
    </row>
    <row r="426" spans="1:17" ht="12" customHeight="1">
      <c r="A426" s="93"/>
      <c r="B426" s="362" t="s">
        <v>1046</v>
      </c>
      <c r="C426" s="363" t="s">
        <v>1272</v>
      </c>
      <c r="D426" s="363" t="s">
        <v>155</v>
      </c>
      <c r="E426" s="364" t="s">
        <v>1271</v>
      </c>
      <c r="F426" s="365">
        <v>9571446.4399999995</v>
      </c>
      <c r="G426" s="364">
        <v>85</v>
      </c>
      <c r="H426" s="365">
        <v>10415344.609999999</v>
      </c>
      <c r="I426" s="364">
        <v>85</v>
      </c>
      <c r="J426" s="366">
        <v>10196632.609999999</v>
      </c>
      <c r="K426" s="367">
        <v>85</v>
      </c>
      <c r="L426" s="368">
        <v>9683151.620000001</v>
      </c>
      <c r="M426" s="366">
        <v>85</v>
      </c>
      <c r="N426" s="366">
        <v>9186785.7300000004</v>
      </c>
      <c r="O426" s="366">
        <v>9049261.7600000016</v>
      </c>
      <c r="P426" s="362">
        <v>8271831.6899999995</v>
      </c>
      <c r="Q426" s="363">
        <v>384660.70999999903</v>
      </c>
    </row>
    <row r="427" spans="1:17" ht="12" customHeight="1">
      <c r="A427" s="93"/>
      <c r="B427" s="369" t="s">
        <v>1048</v>
      </c>
      <c r="C427" s="369" t="s">
        <v>1274</v>
      </c>
      <c r="D427" s="369" t="s">
        <v>153</v>
      </c>
      <c r="E427" s="370" t="s">
        <v>1271</v>
      </c>
      <c r="F427" s="377">
        <v>3358198.0999999996</v>
      </c>
      <c r="G427" s="378">
        <v>40</v>
      </c>
      <c r="H427" s="371">
        <v>3307736.49</v>
      </c>
      <c r="I427" s="370">
        <v>40</v>
      </c>
      <c r="J427" s="372">
        <v>3240082.21</v>
      </c>
      <c r="K427" s="373">
        <v>40</v>
      </c>
      <c r="L427" s="374">
        <v>2780935.1500000004</v>
      </c>
      <c r="M427" s="372">
        <v>40</v>
      </c>
      <c r="N427" s="372">
        <v>2895605.6</v>
      </c>
      <c r="O427" s="372">
        <v>2718188.13</v>
      </c>
      <c r="P427" s="369">
        <v>2839055.35</v>
      </c>
      <c r="Q427" s="369">
        <v>462592.49999999953</v>
      </c>
    </row>
    <row r="428" spans="1:17" ht="12" customHeight="1">
      <c r="A428" s="93"/>
      <c r="B428" s="362" t="s">
        <v>1050</v>
      </c>
      <c r="C428" s="363" t="s">
        <v>1272</v>
      </c>
      <c r="D428" s="363" t="s">
        <v>147</v>
      </c>
      <c r="E428" s="364" t="s">
        <v>1273</v>
      </c>
      <c r="F428" s="365">
        <v>8862930.7300000004</v>
      </c>
      <c r="G428" s="364">
        <v>62</v>
      </c>
      <c r="H428" s="365">
        <v>9247905.0700000003</v>
      </c>
      <c r="I428" s="364">
        <v>50</v>
      </c>
      <c r="J428" s="366">
        <v>8477385.8499999996</v>
      </c>
      <c r="K428" s="367">
        <v>50</v>
      </c>
      <c r="L428" s="368">
        <v>8665266.6999999993</v>
      </c>
      <c r="M428" s="366">
        <v>50</v>
      </c>
      <c r="N428" s="366">
        <v>8494506.1799999997</v>
      </c>
      <c r="O428" s="366">
        <v>7404176.29</v>
      </c>
      <c r="P428" s="362">
        <v>7359216.21</v>
      </c>
      <c r="Q428" s="363">
        <v>368424.55000000075</v>
      </c>
    </row>
    <row r="429" spans="1:17" ht="12" customHeight="1">
      <c r="A429" s="93"/>
      <c r="B429" s="369" t="s">
        <v>1052</v>
      </c>
      <c r="C429" s="369" t="s">
        <v>1272</v>
      </c>
      <c r="D429" s="369" t="s">
        <v>120</v>
      </c>
      <c r="E429" s="370" t="s">
        <v>1273</v>
      </c>
      <c r="F429" s="377">
        <v>11426171.300000001</v>
      </c>
      <c r="G429" s="378">
        <v>88</v>
      </c>
      <c r="H429" s="371">
        <v>12387964.9</v>
      </c>
      <c r="I429" s="370">
        <v>88</v>
      </c>
      <c r="J429" s="372">
        <v>12370895.91</v>
      </c>
      <c r="K429" s="373">
        <v>88</v>
      </c>
      <c r="L429" s="374">
        <v>13116483.800000001</v>
      </c>
      <c r="M429" s="372">
        <v>88</v>
      </c>
      <c r="N429" s="372">
        <v>12244768.690000001</v>
      </c>
      <c r="O429" s="372">
        <v>11865601.760000002</v>
      </c>
      <c r="P429" s="369">
        <v>11668150.98</v>
      </c>
      <c r="Q429" s="369">
        <v>-818597.3900000006</v>
      </c>
    </row>
    <row r="430" spans="1:17" ht="12" customHeight="1">
      <c r="A430" s="93"/>
      <c r="B430" s="362" t="s">
        <v>1054</v>
      </c>
      <c r="C430" s="363" t="s">
        <v>1272</v>
      </c>
      <c r="D430" s="363" t="s">
        <v>135</v>
      </c>
      <c r="E430" s="364" t="s">
        <v>1271</v>
      </c>
      <c r="F430" s="365">
        <v>3778580.21</v>
      </c>
      <c r="G430" s="364">
        <v>78</v>
      </c>
      <c r="H430" s="365">
        <v>3998579.99</v>
      </c>
      <c r="I430" s="364">
        <v>78</v>
      </c>
      <c r="J430" s="366">
        <v>3898810.25</v>
      </c>
      <c r="K430" s="367">
        <v>78</v>
      </c>
      <c r="L430" s="368">
        <v>3889406.49</v>
      </c>
      <c r="M430" s="366">
        <v>78</v>
      </c>
      <c r="N430" s="366">
        <v>3655778.1799999997</v>
      </c>
      <c r="O430" s="366">
        <v>3648760.27</v>
      </c>
      <c r="P430" s="362">
        <v>3762189.85</v>
      </c>
      <c r="Q430" s="363">
        <v>122802.03000000026</v>
      </c>
    </row>
    <row r="431" spans="1:17" ht="12" customHeight="1">
      <c r="A431" s="93"/>
      <c r="B431" s="369" t="s">
        <v>1056</v>
      </c>
      <c r="C431" s="369" t="s">
        <v>1272</v>
      </c>
      <c r="D431" s="369" t="s">
        <v>135</v>
      </c>
      <c r="E431" s="370" t="s">
        <v>1271</v>
      </c>
      <c r="F431" s="377">
        <v>1679003.85</v>
      </c>
      <c r="G431" s="378">
        <v>38</v>
      </c>
      <c r="H431" s="371">
        <v>1856369.23</v>
      </c>
      <c r="I431" s="370">
        <v>38</v>
      </c>
      <c r="J431" s="372">
        <v>1884696.87</v>
      </c>
      <c r="K431" s="373">
        <v>38</v>
      </c>
      <c r="L431" s="374">
        <v>1836501.44</v>
      </c>
      <c r="M431" s="372">
        <v>38</v>
      </c>
      <c r="N431" s="372">
        <v>1741983.3399999999</v>
      </c>
      <c r="O431" s="372">
        <v>1668447.04</v>
      </c>
      <c r="P431" s="369">
        <v>1685775.78</v>
      </c>
      <c r="Q431" s="369">
        <v>-62979.489999999758</v>
      </c>
    </row>
    <row r="432" spans="1:17" ht="12" customHeight="1">
      <c r="A432" s="93"/>
      <c r="B432" s="362" t="s">
        <v>1058</v>
      </c>
      <c r="C432" s="363" t="s">
        <v>1272</v>
      </c>
      <c r="D432" s="363" t="s">
        <v>135</v>
      </c>
      <c r="E432" s="364" t="s">
        <v>1271</v>
      </c>
      <c r="F432" s="365">
        <v>2242063.33</v>
      </c>
      <c r="G432" s="364">
        <v>40</v>
      </c>
      <c r="H432" s="365">
        <v>1938296.4</v>
      </c>
      <c r="I432" s="364">
        <v>40</v>
      </c>
      <c r="J432" s="366">
        <v>1759276.6600000001</v>
      </c>
      <c r="K432" s="367">
        <v>40</v>
      </c>
      <c r="L432" s="368">
        <v>1658008.37</v>
      </c>
      <c r="M432" s="366">
        <v>40</v>
      </c>
      <c r="N432" s="366">
        <v>1830137.5699999998</v>
      </c>
      <c r="O432" s="366">
        <v>1767069.2999999998</v>
      </c>
      <c r="P432" s="362">
        <v>1760095.21</v>
      </c>
      <c r="Q432" s="363">
        <v>411925.76000000024</v>
      </c>
    </row>
    <row r="433" spans="1:17" ht="12" customHeight="1">
      <c r="A433" s="93"/>
      <c r="B433" s="369" t="s">
        <v>1060</v>
      </c>
      <c r="C433" s="369" t="s">
        <v>1272</v>
      </c>
      <c r="D433" s="369" t="s">
        <v>112</v>
      </c>
      <c r="E433" s="370" t="s">
        <v>1271</v>
      </c>
      <c r="F433" s="377">
        <v>605056.84</v>
      </c>
      <c r="G433" s="378">
        <v>18</v>
      </c>
      <c r="H433" s="371">
        <v>520196.77</v>
      </c>
      <c r="I433" s="370">
        <v>18</v>
      </c>
      <c r="J433" s="372">
        <v>427075.98</v>
      </c>
      <c r="K433" s="373">
        <v>18</v>
      </c>
      <c r="L433" s="374">
        <v>516534.04000000004</v>
      </c>
      <c r="M433" s="372">
        <v>18</v>
      </c>
      <c r="N433" s="372">
        <v>540639.18999999994</v>
      </c>
      <c r="O433" s="372">
        <v>482536.81</v>
      </c>
      <c r="P433" s="369">
        <v>576458.5</v>
      </c>
      <c r="Q433" s="369">
        <v>64417.650000000023</v>
      </c>
    </row>
    <row r="434" spans="1:17" ht="12" customHeight="1">
      <c r="A434" s="93"/>
      <c r="B434" s="362" t="s">
        <v>1062</v>
      </c>
      <c r="C434" s="363" t="s">
        <v>1272</v>
      </c>
      <c r="D434" s="363" t="s">
        <v>112</v>
      </c>
      <c r="E434" s="364" t="s">
        <v>1271</v>
      </c>
      <c r="F434" s="365">
        <v>3871602.1500000004</v>
      </c>
      <c r="G434" s="364">
        <v>60</v>
      </c>
      <c r="H434" s="365">
        <v>3825623.37</v>
      </c>
      <c r="I434" s="364">
        <v>60</v>
      </c>
      <c r="J434" s="366">
        <v>3897996.69</v>
      </c>
      <c r="K434" s="367">
        <v>60</v>
      </c>
      <c r="L434" s="368">
        <v>3650147.67</v>
      </c>
      <c r="M434" s="366">
        <v>60</v>
      </c>
      <c r="N434" s="366">
        <v>3310960.6400000001</v>
      </c>
      <c r="O434" s="366">
        <v>2783129.45</v>
      </c>
      <c r="P434" s="362">
        <v>2452349</v>
      </c>
      <c r="Q434" s="363">
        <v>560641.51000000024</v>
      </c>
    </row>
    <row r="435" spans="1:17" ht="12" customHeight="1">
      <c r="A435" s="93"/>
      <c r="B435" s="369" t="s">
        <v>1064</v>
      </c>
      <c r="C435" s="369" t="s">
        <v>1274</v>
      </c>
      <c r="D435" s="369" t="s">
        <v>169</v>
      </c>
      <c r="E435" s="370" t="s">
        <v>1271</v>
      </c>
      <c r="F435" s="377">
        <v>2005839.05</v>
      </c>
      <c r="G435" s="378">
        <v>42</v>
      </c>
      <c r="H435" s="371">
        <v>2212131.44</v>
      </c>
      <c r="I435" s="370">
        <v>42</v>
      </c>
      <c r="J435" s="372">
        <v>2090666.21</v>
      </c>
      <c r="K435" s="373">
        <v>42</v>
      </c>
      <c r="L435" s="374">
        <v>2029851.4900000002</v>
      </c>
      <c r="M435" s="372">
        <v>42</v>
      </c>
      <c r="N435" s="372">
        <v>1774233.07</v>
      </c>
      <c r="O435" s="372">
        <v>1769072.27</v>
      </c>
      <c r="P435" s="369">
        <v>2010101.91</v>
      </c>
      <c r="Q435" s="369">
        <v>231605.97999999998</v>
      </c>
    </row>
    <row r="436" spans="1:17" ht="12" customHeight="1">
      <c r="A436" s="93"/>
      <c r="B436" s="362" t="s">
        <v>1066</v>
      </c>
      <c r="C436" s="363" t="s">
        <v>1274</v>
      </c>
      <c r="D436" s="363" t="s">
        <v>169</v>
      </c>
      <c r="E436" s="364" t="s">
        <v>1271</v>
      </c>
      <c r="F436" s="365">
        <v>1628286.47</v>
      </c>
      <c r="G436" s="364">
        <v>35</v>
      </c>
      <c r="H436" s="365">
        <v>1728738.35</v>
      </c>
      <c r="I436" s="364">
        <v>35</v>
      </c>
      <c r="J436" s="366">
        <v>1744355.77</v>
      </c>
      <c r="K436" s="367">
        <v>35</v>
      </c>
      <c r="L436" s="368">
        <v>1796645.01</v>
      </c>
      <c r="M436" s="366">
        <v>35</v>
      </c>
      <c r="N436" s="366">
        <v>1598952.83</v>
      </c>
      <c r="O436" s="366">
        <v>1696501.33</v>
      </c>
      <c r="P436" s="362">
        <v>1710664.5</v>
      </c>
      <c r="Q436" s="363">
        <v>29333.639999999898</v>
      </c>
    </row>
    <row r="437" spans="1:17" ht="12" customHeight="1">
      <c r="A437" s="93"/>
      <c r="B437" s="369" t="s">
        <v>1068</v>
      </c>
      <c r="C437" s="369" t="s">
        <v>1272</v>
      </c>
      <c r="D437" s="369" t="s">
        <v>135</v>
      </c>
      <c r="E437" s="370" t="s">
        <v>1273</v>
      </c>
      <c r="F437" s="377">
        <v>10659283.809999999</v>
      </c>
      <c r="G437" s="378">
        <v>75</v>
      </c>
      <c r="H437" s="371">
        <v>10652358.530000001</v>
      </c>
      <c r="I437" s="370">
        <v>75</v>
      </c>
      <c r="J437" s="372">
        <v>10353060.050000001</v>
      </c>
      <c r="K437" s="373">
        <v>75</v>
      </c>
      <c r="L437" s="374">
        <v>10840865.43</v>
      </c>
      <c r="M437" s="372">
        <v>75</v>
      </c>
      <c r="N437" s="372">
        <v>11277127.949999999</v>
      </c>
      <c r="O437" s="372">
        <v>11350684.379999999</v>
      </c>
      <c r="P437" s="369">
        <v>11938441.329999998</v>
      </c>
      <c r="Q437" s="369">
        <v>-617844.1400000006</v>
      </c>
    </row>
    <row r="438" spans="1:17" ht="12" customHeight="1">
      <c r="A438" s="93"/>
      <c r="B438" s="362" t="s">
        <v>1070</v>
      </c>
      <c r="C438" s="363" t="s">
        <v>1272</v>
      </c>
      <c r="D438" s="363" t="s">
        <v>147</v>
      </c>
      <c r="E438" s="364" t="s">
        <v>1271</v>
      </c>
      <c r="F438" s="365">
        <v>8370505.8899999997</v>
      </c>
      <c r="G438" s="364">
        <v>80</v>
      </c>
      <c r="H438" s="365">
        <v>7924546.4499999993</v>
      </c>
      <c r="I438" s="364">
        <v>80</v>
      </c>
      <c r="J438" s="366">
        <v>7319424.75</v>
      </c>
      <c r="K438" s="367">
        <v>80</v>
      </c>
      <c r="L438" s="368">
        <v>7129494.2200000007</v>
      </c>
      <c r="M438" s="366">
        <v>80</v>
      </c>
      <c r="N438" s="366">
        <v>6852568.0199999996</v>
      </c>
      <c r="O438" s="366">
        <v>6559537.3799999999</v>
      </c>
      <c r="P438" s="362">
        <v>6583703.5500000007</v>
      </c>
      <c r="Q438" s="363">
        <v>1517937.87</v>
      </c>
    </row>
    <row r="439" spans="1:17" ht="12" customHeight="1">
      <c r="A439" s="93"/>
      <c r="B439" s="369" t="s">
        <v>1072</v>
      </c>
      <c r="C439" s="369" t="s">
        <v>1272</v>
      </c>
      <c r="D439" s="369" t="s">
        <v>39</v>
      </c>
      <c r="E439" s="370" t="s">
        <v>1273</v>
      </c>
      <c r="F439" s="377">
        <v>5383691.75</v>
      </c>
      <c r="G439" s="378">
        <v>49</v>
      </c>
      <c r="H439" s="371">
        <v>5354176.6099999994</v>
      </c>
      <c r="I439" s="370">
        <v>49</v>
      </c>
      <c r="J439" s="372">
        <v>6161654.1299999999</v>
      </c>
      <c r="K439" s="373">
        <v>49</v>
      </c>
      <c r="L439" s="374">
        <v>6287433.1999999993</v>
      </c>
      <c r="M439" s="372">
        <v>49</v>
      </c>
      <c r="N439" s="372">
        <v>6349464.5500000007</v>
      </c>
      <c r="O439" s="372">
        <v>6198751.9399999995</v>
      </c>
      <c r="P439" s="369">
        <v>6203964.0600000005</v>
      </c>
      <c r="Q439" s="369">
        <v>-965772.80000000075</v>
      </c>
    </row>
    <row r="440" spans="1:17" ht="12" customHeight="1">
      <c r="A440" s="93"/>
      <c r="B440" s="362" t="s">
        <v>1074</v>
      </c>
      <c r="C440" s="363" t="s">
        <v>1272</v>
      </c>
      <c r="D440" s="363" t="s">
        <v>112</v>
      </c>
      <c r="E440" s="364" t="s">
        <v>1273</v>
      </c>
      <c r="F440" s="365">
        <v>16032095.260000002</v>
      </c>
      <c r="G440" s="364">
        <v>105</v>
      </c>
      <c r="H440" s="365">
        <v>14844716.329999998</v>
      </c>
      <c r="I440" s="364">
        <v>105</v>
      </c>
      <c r="J440" s="366">
        <v>15118341.100000001</v>
      </c>
      <c r="K440" s="367">
        <v>105</v>
      </c>
      <c r="L440" s="368">
        <v>15623035.870000001</v>
      </c>
      <c r="M440" s="366">
        <v>105</v>
      </c>
      <c r="N440" s="366">
        <v>15348303.960000001</v>
      </c>
      <c r="O440" s="366">
        <v>15137654.07</v>
      </c>
      <c r="P440" s="362">
        <v>15104722.24</v>
      </c>
      <c r="Q440" s="363">
        <v>683791.30000000075</v>
      </c>
    </row>
    <row r="441" spans="1:17" ht="12" customHeight="1">
      <c r="A441" s="93"/>
      <c r="B441" s="369" t="s">
        <v>1076</v>
      </c>
      <c r="C441" s="369" t="s">
        <v>1272</v>
      </c>
      <c r="D441" s="369" t="s">
        <v>142</v>
      </c>
      <c r="E441" s="370" t="s">
        <v>1273</v>
      </c>
      <c r="F441" s="377">
        <v>7336546.1600000001</v>
      </c>
      <c r="G441" s="378">
        <v>50</v>
      </c>
      <c r="H441" s="371">
        <v>7045116.4500000002</v>
      </c>
      <c r="I441" s="370">
        <v>50</v>
      </c>
      <c r="J441" s="372">
        <v>6795685.3900000006</v>
      </c>
      <c r="K441" s="373">
        <v>50</v>
      </c>
      <c r="L441" s="374">
        <v>7157232.6600000001</v>
      </c>
      <c r="M441" s="372">
        <v>50</v>
      </c>
      <c r="N441" s="372">
        <v>6889272.1699999999</v>
      </c>
      <c r="O441" s="372">
        <v>6850131.1899999995</v>
      </c>
      <c r="P441" s="369">
        <v>7362848.7300000004</v>
      </c>
      <c r="Q441" s="369">
        <v>447273.99000000022</v>
      </c>
    </row>
    <row r="442" spans="1:17" ht="12" customHeight="1">
      <c r="A442" s="93"/>
      <c r="B442" s="362" t="s">
        <v>1314</v>
      </c>
      <c r="C442" s="363" t="s">
        <v>1272</v>
      </c>
      <c r="D442" s="363" t="s">
        <v>177</v>
      </c>
      <c r="E442" s="364" t="s">
        <v>1273</v>
      </c>
      <c r="F442" s="365">
        <v>840777.56</v>
      </c>
      <c r="G442" s="364">
        <v>30</v>
      </c>
      <c r="H442" s="365">
        <v>851839.10000000009</v>
      </c>
      <c r="I442" s="364">
        <v>30</v>
      </c>
      <c r="J442" s="366">
        <v>856433.61</v>
      </c>
      <c r="K442" s="367">
        <v>30</v>
      </c>
      <c r="L442" s="368">
        <v>754101.15</v>
      </c>
      <c r="M442" s="366">
        <v>30</v>
      </c>
      <c r="N442" s="366">
        <v>483359.96</v>
      </c>
      <c r="O442" s="366">
        <v>0</v>
      </c>
      <c r="P442" s="362">
        <v>0</v>
      </c>
      <c r="Q442" s="363">
        <v>357417.60000000003</v>
      </c>
    </row>
    <row r="443" spans="1:17" ht="12" customHeight="1">
      <c r="A443" s="93"/>
      <c r="B443" s="369" t="s">
        <v>1315</v>
      </c>
      <c r="C443" s="369" t="s">
        <v>1272</v>
      </c>
      <c r="D443" s="369" t="s">
        <v>175</v>
      </c>
      <c r="E443" s="370" t="s">
        <v>1271</v>
      </c>
      <c r="F443" s="377">
        <v>10833073.050000001</v>
      </c>
      <c r="G443" s="378">
        <v>85</v>
      </c>
      <c r="H443" s="371">
        <v>10525677.260000002</v>
      </c>
      <c r="I443" s="370">
        <v>75</v>
      </c>
      <c r="J443" s="372">
        <v>10494069.43</v>
      </c>
      <c r="K443" s="373">
        <v>75</v>
      </c>
      <c r="L443" s="374">
        <v>10483593.35</v>
      </c>
      <c r="M443" s="372">
        <v>75</v>
      </c>
      <c r="N443" s="372">
        <v>9045619.6699999999</v>
      </c>
      <c r="O443" s="372">
        <v>8407381.2400000002</v>
      </c>
      <c r="P443" s="369">
        <v>8535109.1499999985</v>
      </c>
      <c r="Q443" s="369">
        <v>1787453.3800000008</v>
      </c>
    </row>
    <row r="444" spans="1:17" ht="12" customHeight="1">
      <c r="A444" s="93"/>
      <c r="B444" s="362" t="s">
        <v>1143</v>
      </c>
      <c r="C444" s="363" t="s">
        <v>1272</v>
      </c>
      <c r="D444" s="363" t="s">
        <v>116</v>
      </c>
      <c r="E444" s="364" t="s">
        <v>1271</v>
      </c>
      <c r="F444" s="365">
        <v>2230277.5300000003</v>
      </c>
      <c r="G444" s="364">
        <v>46</v>
      </c>
      <c r="H444" s="365">
        <v>2286020.46</v>
      </c>
      <c r="I444" s="364">
        <v>46</v>
      </c>
      <c r="J444" s="366">
        <v>2252264</v>
      </c>
      <c r="K444" s="367">
        <v>46</v>
      </c>
      <c r="L444" s="368">
        <v>2049959.58</v>
      </c>
      <c r="M444" s="366">
        <v>46</v>
      </c>
      <c r="N444" s="366">
        <v>1998902.88</v>
      </c>
      <c r="O444" s="366">
        <v>1913145.55</v>
      </c>
      <c r="P444" s="362">
        <v>1916641.18</v>
      </c>
      <c r="Q444" s="363">
        <v>231374.65000000037</v>
      </c>
    </row>
    <row r="445" spans="1:17" ht="12" customHeight="1">
      <c r="A445" s="93"/>
      <c r="B445" s="369" t="s">
        <v>1147</v>
      </c>
      <c r="C445" s="369" t="s">
        <v>1274</v>
      </c>
      <c r="D445" s="369" t="s">
        <v>168</v>
      </c>
      <c r="E445" s="370" t="s">
        <v>1273</v>
      </c>
      <c r="F445" s="377">
        <v>2454786.9500000002</v>
      </c>
      <c r="G445" s="378">
        <v>45</v>
      </c>
      <c r="H445" s="371">
        <v>1965356.12</v>
      </c>
      <c r="I445" s="370">
        <v>30</v>
      </c>
      <c r="J445" s="372">
        <v>1819154.81</v>
      </c>
      <c r="K445" s="373">
        <v>30</v>
      </c>
      <c r="L445" s="374">
        <v>1731148.77</v>
      </c>
      <c r="M445" s="372">
        <v>30</v>
      </c>
      <c r="N445" s="372">
        <v>1334984.3999999999</v>
      </c>
      <c r="O445" s="372">
        <v>1066928.1499999999</v>
      </c>
      <c r="P445" s="369">
        <v>1029428.9</v>
      </c>
      <c r="Q445" s="369">
        <v>1119802.5500000003</v>
      </c>
    </row>
    <row r="446" spans="1:17" ht="12" customHeight="1">
      <c r="A446" s="93"/>
      <c r="B446" s="362" t="s">
        <v>1149</v>
      </c>
      <c r="C446" s="363" t="s">
        <v>1272</v>
      </c>
      <c r="D446" s="363" t="s">
        <v>111</v>
      </c>
      <c r="E446" s="364" t="s">
        <v>1273</v>
      </c>
      <c r="F446" s="365">
        <v>2222850.91</v>
      </c>
      <c r="G446" s="364">
        <v>33</v>
      </c>
      <c r="H446" s="365">
        <v>2448620.83</v>
      </c>
      <c r="I446" s="364">
        <v>33</v>
      </c>
      <c r="J446" s="366">
        <v>2490857.0700000003</v>
      </c>
      <c r="K446" s="367">
        <v>31</v>
      </c>
      <c r="L446" s="368">
        <v>2508387.7000000002</v>
      </c>
      <c r="M446" s="366">
        <v>33</v>
      </c>
      <c r="N446" s="366">
        <v>2218921.5099999998</v>
      </c>
      <c r="O446" s="366">
        <v>2094756.25</v>
      </c>
      <c r="P446" s="362">
        <v>2351773.6800000002</v>
      </c>
      <c r="Q446" s="363">
        <v>3929.4000000003725</v>
      </c>
    </row>
    <row r="447" spans="1:17" ht="12" customHeight="1">
      <c r="A447" s="93"/>
      <c r="B447" s="369" t="s">
        <v>1153</v>
      </c>
      <c r="C447" s="369" t="s">
        <v>1274</v>
      </c>
      <c r="D447" s="369" t="s">
        <v>139</v>
      </c>
      <c r="E447" s="370" t="s">
        <v>1271</v>
      </c>
      <c r="F447" s="377">
        <v>5572191.6500000004</v>
      </c>
      <c r="G447" s="378">
        <v>59</v>
      </c>
      <c r="H447" s="371">
        <v>5265903.57</v>
      </c>
      <c r="I447" s="370">
        <v>59</v>
      </c>
      <c r="J447" s="372">
        <v>5080660.08</v>
      </c>
      <c r="K447" s="373">
        <v>59</v>
      </c>
      <c r="L447" s="374">
        <v>4989915.71</v>
      </c>
      <c r="M447" s="372">
        <v>59</v>
      </c>
      <c r="N447" s="372">
        <v>4713606.6500000004</v>
      </c>
      <c r="O447" s="372">
        <v>5031611.83</v>
      </c>
      <c r="P447" s="369">
        <v>4453877.47</v>
      </c>
      <c r="Q447" s="369">
        <v>858585</v>
      </c>
    </row>
    <row r="448" spans="1:17" ht="12" customHeight="1">
      <c r="A448" s="93"/>
      <c r="B448" s="362" t="s">
        <v>1155</v>
      </c>
      <c r="C448" s="363" t="s">
        <v>1274</v>
      </c>
      <c r="D448" s="363" t="s">
        <v>139</v>
      </c>
      <c r="E448" s="364" t="s">
        <v>1271</v>
      </c>
      <c r="F448" s="365">
        <v>2543469.09</v>
      </c>
      <c r="G448" s="364">
        <v>37</v>
      </c>
      <c r="H448" s="365">
        <v>2383565.75</v>
      </c>
      <c r="I448" s="364">
        <v>37</v>
      </c>
      <c r="J448" s="366">
        <v>2250100.42</v>
      </c>
      <c r="K448" s="367">
        <v>37</v>
      </c>
      <c r="L448" s="368">
        <v>1984949.86</v>
      </c>
      <c r="M448" s="366">
        <v>37</v>
      </c>
      <c r="N448" s="366">
        <v>2027530.2400000002</v>
      </c>
      <c r="O448" s="366">
        <v>1985525.31</v>
      </c>
      <c r="P448" s="362">
        <v>2004281.55</v>
      </c>
      <c r="Q448" s="363">
        <v>515938.84999999963</v>
      </c>
    </row>
    <row r="449" spans="1:17" ht="12" customHeight="1">
      <c r="A449" s="93"/>
      <c r="B449" s="369" t="s">
        <v>1157</v>
      </c>
      <c r="C449" s="369" t="s">
        <v>1272</v>
      </c>
      <c r="D449" s="369" t="s">
        <v>116</v>
      </c>
      <c r="E449" s="370" t="s">
        <v>1271</v>
      </c>
      <c r="F449" s="377">
        <v>8192712.3100000005</v>
      </c>
      <c r="G449" s="378">
        <v>75</v>
      </c>
      <c r="H449" s="371">
        <v>7534922.2799999993</v>
      </c>
      <c r="I449" s="370">
        <v>75</v>
      </c>
      <c r="J449" s="372">
        <v>7202822.6799999997</v>
      </c>
      <c r="K449" s="373">
        <v>75</v>
      </c>
      <c r="L449" s="374">
        <v>6568642.1399999997</v>
      </c>
      <c r="M449" s="372">
        <v>74</v>
      </c>
      <c r="N449" s="372">
        <v>5814378.75</v>
      </c>
      <c r="O449" s="372">
        <v>6193847.9299999997</v>
      </c>
      <c r="P449" s="369">
        <v>6968766.7300000004</v>
      </c>
      <c r="Q449" s="369">
        <v>2378333.5600000005</v>
      </c>
    </row>
    <row r="450" spans="1:17" ht="12" customHeight="1">
      <c r="A450" s="93"/>
      <c r="B450" s="362" t="s">
        <v>1159</v>
      </c>
      <c r="C450" s="363" t="s">
        <v>1272</v>
      </c>
      <c r="D450" s="363" t="s">
        <v>137</v>
      </c>
      <c r="E450" s="364" t="s">
        <v>1273</v>
      </c>
      <c r="F450" s="365">
        <v>5574570.2999999998</v>
      </c>
      <c r="G450" s="364">
        <v>47</v>
      </c>
      <c r="H450" s="365">
        <v>5690687.0899999999</v>
      </c>
      <c r="I450" s="364">
        <v>47</v>
      </c>
      <c r="J450" s="366">
        <v>5834507.9499999993</v>
      </c>
      <c r="K450" s="367">
        <v>47</v>
      </c>
      <c r="L450" s="368">
        <v>5550966.0800000001</v>
      </c>
      <c r="M450" s="366">
        <v>47</v>
      </c>
      <c r="N450" s="366">
        <v>5764496.71</v>
      </c>
      <c r="O450" s="366">
        <v>5773634.6699999999</v>
      </c>
      <c r="P450" s="362">
        <v>6118956.7100000009</v>
      </c>
      <c r="Q450" s="363">
        <v>-189926.41000000015</v>
      </c>
    </row>
    <row r="451" spans="1:17" ht="12" customHeight="1">
      <c r="A451" s="93"/>
      <c r="B451" s="369" t="s">
        <v>1161</v>
      </c>
      <c r="C451" s="369" t="s">
        <v>1274</v>
      </c>
      <c r="D451" s="369" t="s">
        <v>118</v>
      </c>
      <c r="E451" s="370" t="s">
        <v>1273</v>
      </c>
      <c r="F451" s="377">
        <v>2616533.62</v>
      </c>
      <c r="G451" s="378">
        <v>22</v>
      </c>
      <c r="H451" s="371">
        <v>2708795.21</v>
      </c>
      <c r="I451" s="370">
        <v>22</v>
      </c>
      <c r="J451" s="372">
        <v>2536014.3499999996</v>
      </c>
      <c r="K451" s="373">
        <v>22</v>
      </c>
      <c r="L451" s="374">
        <v>2790639.04</v>
      </c>
      <c r="M451" s="372">
        <v>22</v>
      </c>
      <c r="N451" s="372">
        <v>2794382.33</v>
      </c>
      <c r="O451" s="372">
        <v>2785478.94</v>
      </c>
      <c r="P451" s="369">
        <v>2729871.39</v>
      </c>
      <c r="Q451" s="369">
        <v>-177848.70999999996</v>
      </c>
    </row>
    <row r="452" spans="1:17" ht="12" customHeight="1">
      <c r="A452" s="93"/>
      <c r="B452" s="362" t="s">
        <v>1163</v>
      </c>
      <c r="C452" s="363" t="s">
        <v>1272</v>
      </c>
      <c r="D452" s="363" t="s">
        <v>177</v>
      </c>
      <c r="E452" s="364" t="s">
        <v>1271</v>
      </c>
      <c r="F452" s="365">
        <v>1652880.06</v>
      </c>
      <c r="G452" s="364">
        <v>30</v>
      </c>
      <c r="H452" s="365">
        <v>1625003.71</v>
      </c>
      <c r="I452" s="364">
        <v>30</v>
      </c>
      <c r="J452" s="366">
        <v>1496112.65</v>
      </c>
      <c r="K452" s="367">
        <v>30</v>
      </c>
      <c r="L452" s="368">
        <v>1401465.46</v>
      </c>
      <c r="M452" s="366">
        <v>30</v>
      </c>
      <c r="N452" s="366">
        <v>1406360.87</v>
      </c>
      <c r="O452" s="366">
        <v>1456823.37</v>
      </c>
      <c r="P452" s="362">
        <v>1278894.7</v>
      </c>
      <c r="Q452" s="363">
        <v>246519.18999999994</v>
      </c>
    </row>
    <row r="453" spans="1:17" ht="12" customHeight="1">
      <c r="A453" s="93"/>
      <c r="B453" s="369" t="s">
        <v>1316</v>
      </c>
      <c r="C453" s="369" t="s">
        <v>1272</v>
      </c>
      <c r="D453" s="369" t="s">
        <v>151</v>
      </c>
      <c r="E453" s="370" t="s">
        <v>1273</v>
      </c>
      <c r="F453" s="377">
        <v>8211338.25</v>
      </c>
      <c r="G453" s="378">
        <v>55</v>
      </c>
      <c r="H453" s="371">
        <v>8785339.9199999999</v>
      </c>
      <c r="I453" s="370">
        <v>55</v>
      </c>
      <c r="J453" s="372">
        <v>7839708.6100000003</v>
      </c>
      <c r="K453" s="373">
        <v>55</v>
      </c>
      <c r="L453" s="374">
        <v>7969973.1299999999</v>
      </c>
      <c r="M453" s="372">
        <v>55</v>
      </c>
      <c r="N453" s="372">
        <v>8504620.8900000006</v>
      </c>
      <c r="O453" s="372">
        <v>7911773.6400000006</v>
      </c>
      <c r="P453" s="369">
        <v>8330103.96</v>
      </c>
      <c r="Q453" s="369">
        <v>-293282.6400000006</v>
      </c>
    </row>
    <row r="454" spans="1:17" ht="12" customHeight="1">
      <c r="A454" s="93"/>
      <c r="B454" s="362" t="s">
        <v>1419</v>
      </c>
      <c r="C454" s="363" t="s">
        <v>1274</v>
      </c>
      <c r="D454" s="363" t="s">
        <v>129</v>
      </c>
      <c r="E454" s="364" t="s">
        <v>1273</v>
      </c>
      <c r="F454" s="365">
        <v>1811358.65</v>
      </c>
      <c r="G454" s="364">
        <v>29</v>
      </c>
      <c r="H454" s="365">
        <v>1458207.23</v>
      </c>
      <c r="I454" s="364">
        <v>29</v>
      </c>
      <c r="J454" s="366">
        <v>705450.66</v>
      </c>
      <c r="K454" s="367">
        <v>29</v>
      </c>
      <c r="L454" s="368"/>
      <c r="M454" s="366"/>
      <c r="N454" s="366"/>
      <c r="O454" s="366"/>
      <c r="P454" s="362"/>
      <c r="Q454" s="363">
        <v>1811358.65</v>
      </c>
    </row>
    <row r="455" spans="1:17" ht="12" customHeight="1">
      <c r="A455" s="93"/>
      <c r="B455" s="369" t="s">
        <v>1167</v>
      </c>
      <c r="C455" s="369" t="s">
        <v>1272</v>
      </c>
      <c r="D455" s="369" t="s">
        <v>151</v>
      </c>
      <c r="E455" s="370" t="s">
        <v>1271</v>
      </c>
      <c r="F455" s="377">
        <v>10755519.75</v>
      </c>
      <c r="G455" s="378">
        <v>75</v>
      </c>
      <c r="H455" s="371">
        <v>10949743.199999999</v>
      </c>
      <c r="I455" s="370">
        <v>75</v>
      </c>
      <c r="J455" s="372">
        <v>10868184.469999999</v>
      </c>
      <c r="K455" s="373">
        <v>75</v>
      </c>
      <c r="L455" s="374">
        <v>11043569.190000001</v>
      </c>
      <c r="M455" s="372">
        <v>75</v>
      </c>
      <c r="N455" s="372">
        <v>11127813.84</v>
      </c>
      <c r="O455" s="372">
        <v>10957440.780000001</v>
      </c>
      <c r="P455" s="369">
        <v>11311684.309999999</v>
      </c>
      <c r="Q455" s="369">
        <v>-372294.08999999985</v>
      </c>
    </row>
    <row r="456" spans="1:17" ht="12" customHeight="1">
      <c r="A456" s="93"/>
      <c r="B456" s="362" t="s">
        <v>1169</v>
      </c>
      <c r="C456" s="363" t="s">
        <v>1272</v>
      </c>
      <c r="D456" s="363" t="s">
        <v>142</v>
      </c>
      <c r="E456" s="364" t="s">
        <v>1271</v>
      </c>
      <c r="F456" s="365">
        <v>6532545.9700000007</v>
      </c>
      <c r="G456" s="364">
        <v>90</v>
      </c>
      <c r="H456" s="365">
        <v>7116019.6099999994</v>
      </c>
      <c r="I456" s="364">
        <v>90</v>
      </c>
      <c r="J456" s="366">
        <v>6371546.75</v>
      </c>
      <c r="K456" s="367">
        <v>90</v>
      </c>
      <c r="L456" s="368">
        <v>6457499.3100000005</v>
      </c>
      <c r="M456" s="366">
        <v>90</v>
      </c>
      <c r="N456" s="366">
        <v>6297964.54</v>
      </c>
      <c r="O456" s="366">
        <v>6454702.9100000001</v>
      </c>
      <c r="P456" s="362">
        <v>6230670.7000000002</v>
      </c>
      <c r="Q456" s="363">
        <v>234581.43000000063</v>
      </c>
    </row>
    <row r="457" spans="1:17" ht="12" customHeight="1">
      <c r="A457" s="93"/>
      <c r="B457" s="369" t="s">
        <v>1317</v>
      </c>
      <c r="C457" s="369" t="s">
        <v>1272</v>
      </c>
      <c r="D457" s="369" t="s">
        <v>133</v>
      </c>
      <c r="E457" s="370" t="s">
        <v>1271</v>
      </c>
      <c r="F457" s="377">
        <v>3185869.41</v>
      </c>
      <c r="G457" s="378">
        <v>60</v>
      </c>
      <c r="H457" s="371">
        <v>3077402.01</v>
      </c>
      <c r="I457" s="370">
        <v>60</v>
      </c>
      <c r="J457" s="372">
        <v>2903000.21</v>
      </c>
      <c r="K457" s="373">
        <v>60</v>
      </c>
      <c r="L457" s="374">
        <v>2827983.56</v>
      </c>
      <c r="M457" s="372">
        <v>60</v>
      </c>
      <c r="N457" s="372">
        <v>2604119.66</v>
      </c>
      <c r="O457" s="372">
        <v>3049209.65</v>
      </c>
      <c r="P457" s="369">
        <v>3131661.92</v>
      </c>
      <c r="Q457" s="369">
        <v>581749.75</v>
      </c>
    </row>
    <row r="458" spans="1:17" ht="12" customHeight="1">
      <c r="A458" s="93"/>
      <c r="B458" s="362" t="s">
        <v>1171</v>
      </c>
      <c r="C458" s="363" t="s">
        <v>1274</v>
      </c>
      <c r="D458" s="363" t="s">
        <v>130</v>
      </c>
      <c r="E458" s="364" t="s">
        <v>1273</v>
      </c>
      <c r="F458" s="365">
        <v>6528215.4299999997</v>
      </c>
      <c r="G458" s="364">
        <v>40</v>
      </c>
      <c r="H458" s="365">
        <v>6158003.0099999998</v>
      </c>
      <c r="I458" s="364">
        <v>40</v>
      </c>
      <c r="J458" s="366">
        <v>5601311.5199999996</v>
      </c>
      <c r="K458" s="367">
        <v>40</v>
      </c>
      <c r="L458" s="368">
        <v>6000707.5700000003</v>
      </c>
      <c r="M458" s="366">
        <v>40</v>
      </c>
      <c r="N458" s="366">
        <v>5546853.2999999998</v>
      </c>
      <c r="O458" s="366">
        <v>4668055.32</v>
      </c>
      <c r="P458" s="362">
        <v>5023777.37</v>
      </c>
      <c r="Q458" s="363">
        <v>981362.12999999989</v>
      </c>
    </row>
    <row r="459" spans="1:17" ht="12" customHeight="1">
      <c r="A459" s="93"/>
      <c r="B459" s="369" t="s">
        <v>1177</v>
      </c>
      <c r="C459" s="369" t="s">
        <v>1274</v>
      </c>
      <c r="D459" s="369" t="s">
        <v>141</v>
      </c>
      <c r="E459" s="370" t="s">
        <v>1273</v>
      </c>
      <c r="F459" s="377">
        <v>5585371.5300000003</v>
      </c>
      <c r="G459" s="378">
        <v>50</v>
      </c>
      <c r="H459" s="371">
        <v>5772552.29</v>
      </c>
      <c r="I459" s="370">
        <v>50</v>
      </c>
      <c r="J459" s="372">
        <v>5919830.3100000005</v>
      </c>
      <c r="K459" s="373">
        <v>50</v>
      </c>
      <c r="L459" s="374">
        <v>5497686.6799999997</v>
      </c>
      <c r="M459" s="372">
        <v>49</v>
      </c>
      <c r="N459" s="372">
        <v>5095106.08</v>
      </c>
      <c r="O459" s="372">
        <v>4919011.57</v>
      </c>
      <c r="P459" s="369">
        <v>5177333.46</v>
      </c>
      <c r="Q459" s="369">
        <v>490265.45000000019</v>
      </c>
    </row>
    <row r="460" spans="1:17" ht="12" customHeight="1">
      <c r="A460" s="93"/>
      <c r="B460" s="362" t="s">
        <v>1179</v>
      </c>
      <c r="C460" s="363" t="s">
        <v>1272</v>
      </c>
      <c r="D460" s="363" t="s">
        <v>161</v>
      </c>
      <c r="E460" s="364" t="s">
        <v>1273</v>
      </c>
      <c r="F460" s="365">
        <v>2211863.27</v>
      </c>
      <c r="G460" s="364">
        <v>31</v>
      </c>
      <c r="H460" s="365">
        <v>1367476.21</v>
      </c>
      <c r="I460" s="364">
        <v>31</v>
      </c>
      <c r="J460" s="366">
        <v>2361492.69</v>
      </c>
      <c r="K460" s="367">
        <v>31</v>
      </c>
      <c r="L460" s="368">
        <v>2963456.04</v>
      </c>
      <c r="M460" s="366">
        <v>30</v>
      </c>
      <c r="N460" s="366">
        <v>2709676.0700000003</v>
      </c>
      <c r="O460" s="366">
        <v>4696639.42</v>
      </c>
      <c r="P460" s="362">
        <v>5419229.8100000005</v>
      </c>
      <c r="Q460" s="363">
        <v>-497812.80000000028</v>
      </c>
    </row>
    <row r="461" spans="1:17" ht="12" customHeight="1">
      <c r="B461" s="369" t="s">
        <v>1181</v>
      </c>
      <c r="C461" s="369" t="s">
        <v>1272</v>
      </c>
      <c r="D461" s="369" t="s">
        <v>151</v>
      </c>
      <c r="E461" s="370" t="s">
        <v>1273</v>
      </c>
      <c r="F461" s="377">
        <v>10421974.189999999</v>
      </c>
      <c r="G461" s="378">
        <v>78</v>
      </c>
      <c r="H461" s="371">
        <v>10213901.560000001</v>
      </c>
      <c r="I461" s="370">
        <v>78</v>
      </c>
      <c r="J461" s="372">
        <v>11099782.810000001</v>
      </c>
      <c r="K461" s="373">
        <v>78</v>
      </c>
      <c r="L461" s="374">
        <v>11526166.780000001</v>
      </c>
      <c r="M461" s="372">
        <v>75</v>
      </c>
      <c r="N461" s="372">
        <v>11902254.08</v>
      </c>
      <c r="O461" s="372">
        <v>2546888.7599999998</v>
      </c>
      <c r="P461" s="369">
        <v>2109303.88</v>
      </c>
      <c r="Q461" s="369">
        <v>-1480279.8900000006</v>
      </c>
    </row>
    <row r="462" spans="1:17" ht="12" customHeight="1">
      <c r="A462" s="93"/>
      <c r="B462" s="362" t="s">
        <v>1183</v>
      </c>
      <c r="C462" s="363" t="s">
        <v>1272</v>
      </c>
      <c r="D462" s="363" t="s">
        <v>39</v>
      </c>
      <c r="E462" s="364" t="s">
        <v>1273</v>
      </c>
      <c r="F462" s="365">
        <v>3769644.9</v>
      </c>
      <c r="G462" s="364">
        <v>26</v>
      </c>
      <c r="H462" s="365">
        <v>3941466.0300000003</v>
      </c>
      <c r="I462" s="364">
        <v>26</v>
      </c>
      <c r="J462" s="366">
        <v>3661708.56</v>
      </c>
      <c r="K462" s="367">
        <v>26</v>
      </c>
      <c r="L462" s="368">
        <v>4143618.26</v>
      </c>
      <c r="M462" s="366">
        <v>26</v>
      </c>
      <c r="N462" s="366">
        <v>3859969.1</v>
      </c>
      <c r="O462" s="366">
        <v>12297771.920000002</v>
      </c>
      <c r="P462" s="362">
        <v>12332773.949999999</v>
      </c>
      <c r="Q462" s="363">
        <v>-90324.200000000186</v>
      </c>
    </row>
    <row r="463" spans="1:17" ht="12" customHeight="1">
      <c r="A463" s="93"/>
      <c r="B463" s="369" t="s">
        <v>1185</v>
      </c>
      <c r="C463" s="369" t="s">
        <v>1272</v>
      </c>
      <c r="D463" s="369" t="s">
        <v>128</v>
      </c>
      <c r="E463" s="370" t="s">
        <v>1273</v>
      </c>
      <c r="F463" s="377">
        <v>11987987.84</v>
      </c>
      <c r="G463" s="378">
        <v>71</v>
      </c>
      <c r="H463" s="371">
        <v>11784616.149999999</v>
      </c>
      <c r="I463" s="370">
        <v>71</v>
      </c>
      <c r="J463" s="372">
        <v>11115726.810000001</v>
      </c>
      <c r="K463" s="373">
        <v>71</v>
      </c>
      <c r="L463" s="374">
        <v>11623883.16</v>
      </c>
      <c r="M463" s="372">
        <v>71</v>
      </c>
      <c r="N463" s="372">
        <v>11355084.23</v>
      </c>
      <c r="O463" s="372">
        <v>3237226.52</v>
      </c>
      <c r="P463" s="369">
        <v>3196590.84</v>
      </c>
      <c r="Q463" s="369">
        <v>632903.6099999994</v>
      </c>
    </row>
    <row r="464" spans="1:17" ht="12" customHeight="1">
      <c r="A464" s="93"/>
      <c r="B464" s="362" t="s">
        <v>1187</v>
      </c>
      <c r="C464" s="363" t="s">
        <v>1274</v>
      </c>
      <c r="D464" s="363" t="s">
        <v>171</v>
      </c>
      <c r="E464" s="364" t="s">
        <v>1271</v>
      </c>
      <c r="F464" s="365">
        <v>1251613.74</v>
      </c>
      <c r="G464" s="364">
        <v>25</v>
      </c>
      <c r="H464" s="365">
        <v>1057601.19</v>
      </c>
      <c r="I464" s="364">
        <v>25</v>
      </c>
      <c r="J464" s="366">
        <v>1121255.0899999999</v>
      </c>
      <c r="K464" s="367">
        <v>25</v>
      </c>
      <c r="L464" s="368">
        <v>935577.48</v>
      </c>
      <c r="M464" s="366">
        <v>25</v>
      </c>
      <c r="N464" s="366">
        <v>822756.22</v>
      </c>
      <c r="O464" s="366">
        <v>10664803.190000001</v>
      </c>
      <c r="P464" s="362">
        <v>10260994.279999999</v>
      </c>
      <c r="Q464" s="363">
        <v>428857.52</v>
      </c>
    </row>
    <row r="465" spans="1:17" ht="12" customHeight="1">
      <c r="A465" s="93"/>
      <c r="B465" s="369" t="s">
        <v>1189</v>
      </c>
      <c r="C465" s="369" t="s">
        <v>1274</v>
      </c>
      <c r="D465" s="369" t="s">
        <v>171</v>
      </c>
      <c r="E465" s="370" t="s">
        <v>1271</v>
      </c>
      <c r="F465" s="377">
        <v>1988965.59</v>
      </c>
      <c r="G465" s="378">
        <v>50</v>
      </c>
      <c r="H465" s="371">
        <v>1855113.54</v>
      </c>
      <c r="I465" s="370">
        <v>32</v>
      </c>
      <c r="J465" s="372">
        <v>1741327.64</v>
      </c>
      <c r="K465" s="373">
        <v>32</v>
      </c>
      <c r="L465" s="374">
        <v>1663381.6600000001</v>
      </c>
      <c r="M465" s="372">
        <v>32</v>
      </c>
      <c r="N465" s="372">
        <v>1529320.31</v>
      </c>
      <c r="O465" s="372">
        <v>948381.44</v>
      </c>
      <c r="P465" s="369">
        <v>980502.66</v>
      </c>
      <c r="Q465" s="369">
        <v>459645.28</v>
      </c>
    </row>
    <row r="466" spans="1:17" ht="12" customHeight="1">
      <c r="A466" s="93"/>
      <c r="B466" s="362" t="s">
        <v>1191</v>
      </c>
      <c r="C466" s="363" t="s">
        <v>1272</v>
      </c>
      <c r="D466" s="363" t="s">
        <v>138</v>
      </c>
      <c r="E466" s="364" t="s">
        <v>1271</v>
      </c>
      <c r="F466" s="365">
        <v>5289823.0399999991</v>
      </c>
      <c r="G466" s="364">
        <v>97</v>
      </c>
      <c r="H466" s="365">
        <v>5260632.4800000004</v>
      </c>
      <c r="I466" s="364">
        <v>97</v>
      </c>
      <c r="J466" s="366">
        <v>5398901.96</v>
      </c>
      <c r="K466" s="367">
        <v>97</v>
      </c>
      <c r="L466" s="368">
        <v>5667452.6400000006</v>
      </c>
      <c r="M466" s="366">
        <v>97</v>
      </c>
      <c r="N466" s="366">
        <v>5301873.3599999994</v>
      </c>
      <c r="O466" s="366">
        <v>1528578.8</v>
      </c>
      <c r="P466" s="362">
        <v>1478548.33</v>
      </c>
      <c r="Q466" s="363">
        <v>-12050.320000000298</v>
      </c>
    </row>
    <row r="467" spans="1:17" ht="12" customHeight="1">
      <c r="A467" s="93"/>
      <c r="B467" s="369" t="s">
        <v>1193</v>
      </c>
      <c r="C467" s="369" t="s">
        <v>1272</v>
      </c>
      <c r="D467" s="369" t="s">
        <v>138</v>
      </c>
      <c r="E467" s="370" t="s">
        <v>1271</v>
      </c>
      <c r="F467" s="377">
        <v>3546551.37</v>
      </c>
      <c r="G467" s="378">
        <v>60</v>
      </c>
      <c r="H467" s="371">
        <v>3189699.01</v>
      </c>
      <c r="I467" s="370">
        <v>60</v>
      </c>
      <c r="J467" s="372">
        <v>2922643.1900000004</v>
      </c>
      <c r="K467" s="373">
        <v>60</v>
      </c>
      <c r="L467" s="374">
        <v>3044371.3</v>
      </c>
      <c r="M467" s="372">
        <v>60</v>
      </c>
      <c r="N467" s="372">
        <v>3296711.73</v>
      </c>
      <c r="O467" s="372">
        <v>4141065.99</v>
      </c>
      <c r="P467" s="369">
        <v>4291589.26</v>
      </c>
      <c r="Q467" s="369">
        <v>249839.64000000013</v>
      </c>
    </row>
    <row r="468" spans="1:17" ht="12" customHeight="1">
      <c r="A468" s="93"/>
      <c r="B468" s="362" t="s">
        <v>1195</v>
      </c>
      <c r="C468" s="363" t="s">
        <v>1274</v>
      </c>
      <c r="D468" s="363" t="s">
        <v>108</v>
      </c>
      <c r="E468" s="364" t="s">
        <v>1271</v>
      </c>
      <c r="F468" s="365">
        <v>5254793.6300000008</v>
      </c>
      <c r="G468" s="364">
        <v>100</v>
      </c>
      <c r="H468" s="365">
        <v>5359230.2300000004</v>
      </c>
      <c r="I468" s="364">
        <v>100</v>
      </c>
      <c r="J468" s="366">
        <v>4887235.83</v>
      </c>
      <c r="K468" s="367">
        <v>76</v>
      </c>
      <c r="L468" s="368">
        <v>5232040.9700000007</v>
      </c>
      <c r="M468" s="366">
        <v>80</v>
      </c>
      <c r="N468" s="366">
        <v>5230936.05</v>
      </c>
      <c r="O468" s="366">
        <v>3306227.27</v>
      </c>
      <c r="P468" s="362">
        <v>3516899.97</v>
      </c>
      <c r="Q468" s="363">
        <v>23857.580000001006</v>
      </c>
    </row>
    <row r="469" spans="1:17" ht="12" customHeight="1">
      <c r="A469" s="93"/>
      <c r="B469" s="369" t="s">
        <v>1197</v>
      </c>
      <c r="C469" s="369" t="s">
        <v>1274</v>
      </c>
      <c r="D469" s="369" t="s">
        <v>108</v>
      </c>
      <c r="E469" s="370" t="s">
        <v>1271</v>
      </c>
      <c r="F469" s="377">
        <v>6681662.3900000006</v>
      </c>
      <c r="G469" s="378">
        <v>80</v>
      </c>
      <c r="H469" s="371">
        <v>6586496.7800000003</v>
      </c>
      <c r="I469" s="370">
        <v>80</v>
      </c>
      <c r="J469" s="372">
        <v>6121453.0499999998</v>
      </c>
      <c r="K469" s="373">
        <v>80</v>
      </c>
      <c r="L469" s="374">
        <v>5293545.2700000005</v>
      </c>
      <c r="M469" s="372">
        <v>60</v>
      </c>
      <c r="N469" s="372">
        <v>3956372.83</v>
      </c>
      <c r="O469" s="372">
        <v>4888659.4399999995</v>
      </c>
      <c r="P469" s="369">
        <v>5192645.71</v>
      </c>
      <c r="Q469" s="369">
        <v>2725289.5600000005</v>
      </c>
    </row>
    <row r="470" spans="1:17" ht="12" customHeight="1">
      <c r="A470" s="93"/>
      <c r="B470" s="362" t="s">
        <v>1199</v>
      </c>
      <c r="C470" s="363" t="s">
        <v>1274</v>
      </c>
      <c r="D470" s="363" t="s">
        <v>179</v>
      </c>
      <c r="E470" s="364" t="s">
        <v>1271</v>
      </c>
      <c r="F470" s="365">
        <v>3288105.33</v>
      </c>
      <c r="G470" s="364">
        <v>40</v>
      </c>
      <c r="H470" s="365">
        <v>3325223.6</v>
      </c>
      <c r="I470" s="364">
        <v>40</v>
      </c>
      <c r="J470" s="366">
        <v>3372934.52</v>
      </c>
      <c r="K470" s="367">
        <v>40</v>
      </c>
      <c r="L470" s="368">
        <v>3364006.75</v>
      </c>
      <c r="M470" s="366">
        <v>40</v>
      </c>
      <c r="N470" s="366">
        <v>3177518.0599999996</v>
      </c>
      <c r="O470" s="366">
        <v>3480760.64</v>
      </c>
      <c r="P470" s="362">
        <v>3032195.09</v>
      </c>
      <c r="Q470" s="363">
        <v>110587.27000000048</v>
      </c>
    </row>
    <row r="471" spans="1:17" ht="12" customHeight="1">
      <c r="A471" s="93"/>
      <c r="B471" s="369" t="s">
        <v>1201</v>
      </c>
      <c r="C471" s="369" t="s">
        <v>1274</v>
      </c>
      <c r="D471" s="369" t="s">
        <v>179</v>
      </c>
      <c r="E471" s="370" t="s">
        <v>1271</v>
      </c>
      <c r="F471" s="377">
        <v>2591057.2199999997</v>
      </c>
      <c r="G471" s="378">
        <v>40</v>
      </c>
      <c r="H471" s="371">
        <v>2551442.34</v>
      </c>
      <c r="I471" s="370">
        <v>40</v>
      </c>
      <c r="J471" s="372">
        <v>2643235.8399999999</v>
      </c>
      <c r="K471" s="373">
        <v>40</v>
      </c>
      <c r="L471" s="374">
        <v>2944557.27</v>
      </c>
      <c r="M471" s="372">
        <v>40</v>
      </c>
      <c r="N471" s="372">
        <v>3038419.17</v>
      </c>
      <c r="O471" s="372">
        <v>3222738.2199999997</v>
      </c>
      <c r="P471" s="369">
        <v>3535666.31</v>
      </c>
      <c r="Q471" s="369">
        <v>-447361.95000000019</v>
      </c>
    </row>
    <row r="472" spans="1:17" ht="12" customHeight="1">
      <c r="A472" s="93"/>
      <c r="B472" s="362" t="s">
        <v>1203</v>
      </c>
      <c r="C472" s="363" t="s">
        <v>1274</v>
      </c>
      <c r="D472" s="363" t="s">
        <v>179</v>
      </c>
      <c r="E472" s="364" t="s">
        <v>1271</v>
      </c>
      <c r="F472" s="365">
        <v>1374224.19</v>
      </c>
      <c r="G472" s="364">
        <v>24</v>
      </c>
      <c r="H472" s="365">
        <v>1243696.01</v>
      </c>
      <c r="I472" s="364">
        <v>24</v>
      </c>
      <c r="J472" s="366">
        <v>986875.38</v>
      </c>
      <c r="K472" s="367">
        <v>24</v>
      </c>
      <c r="L472" s="368">
        <v>984098.06</v>
      </c>
      <c r="M472" s="366">
        <v>24</v>
      </c>
      <c r="N472" s="366">
        <v>836927.33000000007</v>
      </c>
      <c r="O472" s="366">
        <v>3006617.2199999997</v>
      </c>
      <c r="P472" s="362">
        <v>3141218.35</v>
      </c>
      <c r="Q472" s="363">
        <v>537296.85999999987</v>
      </c>
    </row>
    <row r="473" spans="1:17" ht="12" customHeight="1">
      <c r="B473" s="369" t="s">
        <v>1205</v>
      </c>
      <c r="C473" s="369" t="s">
        <v>1272</v>
      </c>
      <c r="D473" s="369" t="s">
        <v>112</v>
      </c>
      <c r="E473" s="370" t="s">
        <v>1273</v>
      </c>
      <c r="F473" s="377">
        <v>15510077.76</v>
      </c>
      <c r="G473" s="378">
        <v>76</v>
      </c>
      <c r="H473" s="371">
        <v>15955969.34</v>
      </c>
      <c r="I473" s="370">
        <v>76</v>
      </c>
      <c r="J473" s="372">
        <v>14855163.620000001</v>
      </c>
      <c r="K473" s="373">
        <v>76</v>
      </c>
      <c r="L473" s="374">
        <v>15715216.800000001</v>
      </c>
      <c r="M473" s="372">
        <v>76</v>
      </c>
      <c r="N473" s="372">
        <v>15109023.98</v>
      </c>
      <c r="O473" s="372">
        <v>778878.08000000007</v>
      </c>
      <c r="P473" s="369">
        <v>711004.28</v>
      </c>
      <c r="Q473" s="369">
        <v>401053.77999999933</v>
      </c>
    </row>
    <row r="474" spans="1:17" ht="12" customHeight="1">
      <c r="A474" s="93"/>
      <c r="B474" s="362" t="s">
        <v>1207</v>
      </c>
      <c r="C474" s="363" t="s">
        <v>1272</v>
      </c>
      <c r="D474" s="363" t="s">
        <v>152</v>
      </c>
      <c r="E474" s="364" t="s">
        <v>1273</v>
      </c>
      <c r="F474" s="365">
        <v>10830167.300000001</v>
      </c>
      <c r="G474" s="364">
        <v>70</v>
      </c>
      <c r="H474" s="365">
        <v>11318204.609999999</v>
      </c>
      <c r="I474" s="364">
        <v>70</v>
      </c>
      <c r="J474" s="366">
        <v>10512353.529999999</v>
      </c>
      <c r="K474" s="367">
        <v>70</v>
      </c>
      <c r="L474" s="368">
        <v>10163788.280000001</v>
      </c>
      <c r="M474" s="366">
        <v>70</v>
      </c>
      <c r="N474" s="366">
        <v>8563860.25</v>
      </c>
      <c r="O474" s="366">
        <v>15247642.030000001</v>
      </c>
      <c r="P474" s="362">
        <v>14189426.859999999</v>
      </c>
      <c r="Q474" s="363">
        <v>2266307.0500000007</v>
      </c>
    </row>
    <row r="475" spans="1:17" ht="12" customHeight="1">
      <c r="A475" s="93"/>
      <c r="B475" s="369" t="s">
        <v>1209</v>
      </c>
      <c r="C475" s="369" t="s">
        <v>1272</v>
      </c>
      <c r="D475" s="369" t="s">
        <v>106</v>
      </c>
      <c r="E475" s="370" t="s">
        <v>1271</v>
      </c>
      <c r="F475" s="377">
        <v>7657405.8399999999</v>
      </c>
      <c r="G475" s="378">
        <v>103</v>
      </c>
      <c r="H475" s="371">
        <v>7592328.3799999999</v>
      </c>
      <c r="I475" s="370">
        <v>103</v>
      </c>
      <c r="J475" s="372">
        <v>6844910.5899999999</v>
      </c>
      <c r="K475" s="373">
        <v>103</v>
      </c>
      <c r="L475" s="374">
        <v>6700421.1400000006</v>
      </c>
      <c r="M475" s="372">
        <v>83</v>
      </c>
      <c r="N475" s="372">
        <v>6557277.5600000005</v>
      </c>
      <c r="O475" s="372">
        <v>8547749.8399999999</v>
      </c>
      <c r="P475" s="369">
        <v>8561992.1099999994</v>
      </c>
      <c r="Q475" s="369">
        <v>1100128.2799999993</v>
      </c>
    </row>
    <row r="476" spans="1:17" ht="12" customHeight="1">
      <c r="A476" s="93"/>
      <c r="B476" s="362" t="s">
        <v>1211</v>
      </c>
      <c r="C476" s="363" t="s">
        <v>1274</v>
      </c>
      <c r="D476" s="363" t="s">
        <v>129</v>
      </c>
      <c r="E476" s="364" t="s">
        <v>1273</v>
      </c>
      <c r="F476" s="365">
        <v>6671544.5600000005</v>
      </c>
      <c r="G476" s="364">
        <v>70</v>
      </c>
      <c r="H476" s="365">
        <v>5965119.25</v>
      </c>
      <c r="I476" s="364">
        <v>70</v>
      </c>
      <c r="J476" s="366">
        <v>5491178.21</v>
      </c>
      <c r="K476" s="367">
        <v>70</v>
      </c>
      <c r="L476" s="368">
        <v>5326017.87</v>
      </c>
      <c r="M476" s="366">
        <v>70</v>
      </c>
      <c r="N476" s="366">
        <v>4778984.09</v>
      </c>
      <c r="O476" s="366">
        <v>6342166.5</v>
      </c>
      <c r="P476" s="362">
        <v>6238691.3100000005</v>
      </c>
      <c r="Q476" s="363">
        <v>1892560.4700000007</v>
      </c>
    </row>
    <row r="477" spans="1:17" ht="12" customHeight="1">
      <c r="A477" s="93"/>
      <c r="B477" s="369" t="s">
        <v>1213</v>
      </c>
      <c r="C477" s="369" t="s">
        <v>1272</v>
      </c>
      <c r="D477" s="369" t="s">
        <v>151</v>
      </c>
      <c r="E477" s="370" t="s">
        <v>1271</v>
      </c>
      <c r="F477" s="377">
        <v>4887880.91</v>
      </c>
      <c r="G477" s="378">
        <v>67</v>
      </c>
      <c r="H477" s="371">
        <v>5086983.51</v>
      </c>
      <c r="I477" s="370">
        <v>67</v>
      </c>
      <c r="J477" s="372">
        <v>4077412.25</v>
      </c>
      <c r="K477" s="373">
        <v>67</v>
      </c>
      <c r="L477" s="374">
        <v>3702890.63</v>
      </c>
      <c r="M477" s="372">
        <v>67</v>
      </c>
      <c r="N477" s="372">
        <v>3687065.14</v>
      </c>
      <c r="O477" s="372">
        <v>4414303.9000000004</v>
      </c>
      <c r="P477" s="369">
        <v>3666006.05</v>
      </c>
      <c r="Q477" s="369">
        <v>1200815.77</v>
      </c>
    </row>
    <row r="478" spans="1:17" ht="12" customHeight="1">
      <c r="A478" s="93"/>
      <c r="B478" s="362" t="s">
        <v>1217</v>
      </c>
      <c r="C478" s="363" t="s">
        <v>1272</v>
      </c>
      <c r="D478" s="363" t="s">
        <v>175</v>
      </c>
      <c r="E478" s="364" t="s">
        <v>1273</v>
      </c>
      <c r="F478" s="365">
        <v>13882177.629999999</v>
      </c>
      <c r="G478" s="364">
        <v>80</v>
      </c>
      <c r="H478" s="365">
        <v>13964119.67</v>
      </c>
      <c r="I478" s="364">
        <v>80</v>
      </c>
      <c r="J478" s="366">
        <v>12848444.440000001</v>
      </c>
      <c r="K478" s="367">
        <v>80</v>
      </c>
      <c r="L478" s="368">
        <v>12339192.219999999</v>
      </c>
      <c r="M478" s="366">
        <v>80</v>
      </c>
      <c r="N478" s="366">
        <v>14252872.890000001</v>
      </c>
      <c r="O478" s="366">
        <v>3467030.08</v>
      </c>
      <c r="P478" s="362">
        <v>2773202.21</v>
      </c>
      <c r="Q478" s="363">
        <v>-370695.26000000164</v>
      </c>
    </row>
    <row r="479" spans="1:17" ht="12" customHeight="1">
      <c r="A479" s="93"/>
      <c r="B479" s="369" t="s">
        <v>1219</v>
      </c>
      <c r="C479" s="369" t="s">
        <v>1272</v>
      </c>
      <c r="D479" s="369" t="s">
        <v>175</v>
      </c>
      <c r="E479" s="370" t="s">
        <v>1271</v>
      </c>
      <c r="F479" s="377">
        <v>2959321.25</v>
      </c>
      <c r="G479" s="378">
        <v>60</v>
      </c>
      <c r="H479" s="371">
        <v>3288054.37</v>
      </c>
      <c r="I479" s="370">
        <v>60</v>
      </c>
      <c r="J479" s="372">
        <v>3308908.84</v>
      </c>
      <c r="K479" s="373">
        <v>60</v>
      </c>
      <c r="L479" s="374">
        <v>3074225.0300000003</v>
      </c>
      <c r="M479" s="372">
        <v>60</v>
      </c>
      <c r="N479" s="372">
        <v>3146198.46</v>
      </c>
      <c r="O479" s="372">
        <v>17149393.710000001</v>
      </c>
      <c r="P479" s="369">
        <v>18457485.590000004</v>
      </c>
      <c r="Q479" s="369">
        <v>-186877.20999999996</v>
      </c>
    </row>
    <row r="480" spans="1:17" ht="12" customHeight="1">
      <c r="A480" s="93"/>
      <c r="B480" s="362" t="s">
        <v>1221</v>
      </c>
      <c r="C480" s="363" t="s">
        <v>1272</v>
      </c>
      <c r="D480" s="363" t="s">
        <v>106</v>
      </c>
      <c r="E480" s="364" t="s">
        <v>1271</v>
      </c>
      <c r="F480" s="365">
        <v>1572300.3399999999</v>
      </c>
      <c r="G480" s="364">
        <v>31</v>
      </c>
      <c r="H480" s="365">
        <v>1308207.9700000002</v>
      </c>
      <c r="I480" s="364">
        <v>31</v>
      </c>
      <c r="J480" s="366">
        <v>1182390.9900000002</v>
      </c>
      <c r="K480" s="367">
        <v>31</v>
      </c>
      <c r="L480" s="368">
        <v>353460.06</v>
      </c>
      <c r="M480" s="366">
        <v>31</v>
      </c>
      <c r="N480" s="366">
        <v>335843.56</v>
      </c>
      <c r="O480" s="366">
        <v>2833679.77</v>
      </c>
      <c r="P480" s="362">
        <v>3132538.36</v>
      </c>
      <c r="Q480" s="363">
        <v>1236456.7799999998</v>
      </c>
    </row>
    <row r="481" spans="1:17" ht="12" customHeight="1">
      <c r="A481" s="93"/>
      <c r="B481" s="369" t="s">
        <v>1223</v>
      </c>
      <c r="C481" s="369" t="s">
        <v>1274</v>
      </c>
      <c r="D481" s="369" t="s">
        <v>134</v>
      </c>
      <c r="E481" s="370" t="s">
        <v>1271</v>
      </c>
      <c r="F481" s="377">
        <v>1968300.3900000001</v>
      </c>
      <c r="G481" s="378">
        <v>34</v>
      </c>
      <c r="H481" s="371">
        <v>1730826.69</v>
      </c>
      <c r="I481" s="370">
        <v>34</v>
      </c>
      <c r="J481" s="372">
        <v>1776684.24</v>
      </c>
      <c r="K481" s="373">
        <v>34</v>
      </c>
      <c r="L481" s="374">
        <v>1856345.79</v>
      </c>
      <c r="M481" s="372">
        <v>34</v>
      </c>
      <c r="N481" s="372">
        <v>1859243.3</v>
      </c>
      <c r="O481" s="372">
        <v>660122.82000000007</v>
      </c>
      <c r="P481" s="369">
        <v>759600.05</v>
      </c>
      <c r="Q481" s="369">
        <v>109057.09000000008</v>
      </c>
    </row>
    <row r="482" spans="1:17" ht="12" customHeight="1">
      <c r="A482" s="93"/>
      <c r="B482" s="362" t="s">
        <v>1225</v>
      </c>
      <c r="C482" s="363" t="s">
        <v>1272</v>
      </c>
      <c r="D482" s="363" t="s">
        <v>147</v>
      </c>
      <c r="E482" s="364" t="s">
        <v>1273</v>
      </c>
      <c r="F482" s="365">
        <v>14053613.789999999</v>
      </c>
      <c r="G482" s="364">
        <v>90</v>
      </c>
      <c r="H482" s="365">
        <v>13351987.67</v>
      </c>
      <c r="I482" s="364">
        <v>90</v>
      </c>
      <c r="J482" s="366">
        <v>12429526.98</v>
      </c>
      <c r="K482" s="367">
        <v>90</v>
      </c>
      <c r="L482" s="368">
        <v>11553280.02</v>
      </c>
      <c r="M482" s="366">
        <v>90</v>
      </c>
      <c r="N482" s="366">
        <v>11552735.75</v>
      </c>
      <c r="O482" s="366">
        <v>1858845.88</v>
      </c>
      <c r="P482" s="362">
        <v>1815309.33</v>
      </c>
      <c r="Q482" s="363">
        <v>2500878.0399999991</v>
      </c>
    </row>
    <row r="483" spans="1:17" ht="12" customHeight="1">
      <c r="A483" s="93"/>
      <c r="B483" s="369" t="s">
        <v>1227</v>
      </c>
      <c r="C483" s="369" t="s">
        <v>1272</v>
      </c>
      <c r="D483" s="369" t="s">
        <v>112</v>
      </c>
      <c r="E483" s="370" t="s">
        <v>1273</v>
      </c>
      <c r="F483" s="377">
        <v>11583874.289999999</v>
      </c>
      <c r="G483" s="378">
        <v>78</v>
      </c>
      <c r="H483" s="371">
        <v>11447603.529999999</v>
      </c>
      <c r="I483" s="370">
        <v>78</v>
      </c>
      <c r="J483" s="372">
        <v>12228541.51</v>
      </c>
      <c r="K483" s="373">
        <v>78</v>
      </c>
      <c r="L483" s="374">
        <v>13654131.359999999</v>
      </c>
      <c r="M483" s="372">
        <v>78</v>
      </c>
      <c r="N483" s="372">
        <v>15227294.57</v>
      </c>
      <c r="O483" s="372">
        <v>10464476.59</v>
      </c>
      <c r="P483" s="369">
        <v>9432126.4000000004</v>
      </c>
      <c r="Q483" s="369">
        <v>-3643420.2800000012</v>
      </c>
    </row>
    <row r="484" spans="1:17" ht="12" customHeight="1">
      <c r="A484" s="93"/>
      <c r="B484" s="362" t="s">
        <v>1229</v>
      </c>
      <c r="C484" s="363" t="s">
        <v>1272</v>
      </c>
      <c r="D484" s="363" t="s">
        <v>155</v>
      </c>
      <c r="E484" s="364" t="s">
        <v>1273</v>
      </c>
      <c r="F484" s="365">
        <v>4454031.21</v>
      </c>
      <c r="G484" s="364">
        <v>40</v>
      </c>
      <c r="H484" s="365">
        <v>4761281.1500000004</v>
      </c>
      <c r="I484" s="364">
        <v>40</v>
      </c>
      <c r="J484" s="366">
        <v>5140157.53</v>
      </c>
      <c r="K484" s="367">
        <v>40</v>
      </c>
      <c r="L484" s="368">
        <v>4909913.8000000007</v>
      </c>
      <c r="M484" s="366">
        <v>40</v>
      </c>
      <c r="N484" s="366">
        <v>4514417.58</v>
      </c>
      <c r="O484" s="366">
        <v>15674870.030000001</v>
      </c>
      <c r="P484" s="362">
        <v>15822431.419999998</v>
      </c>
      <c r="Q484" s="363">
        <v>-60386.370000000112</v>
      </c>
    </row>
    <row r="485" spans="1:17" ht="12" customHeight="1">
      <c r="A485" s="93"/>
      <c r="B485" s="369" t="s">
        <v>1231</v>
      </c>
      <c r="C485" s="369" t="s">
        <v>1272</v>
      </c>
      <c r="D485" s="369" t="s">
        <v>135</v>
      </c>
      <c r="E485" s="370" t="s">
        <v>1273</v>
      </c>
      <c r="F485" s="377">
        <v>5883491.4299999997</v>
      </c>
      <c r="G485" s="378">
        <v>40</v>
      </c>
      <c r="H485" s="371">
        <v>6010634.0700000003</v>
      </c>
      <c r="I485" s="370">
        <v>40</v>
      </c>
      <c r="J485" s="372">
        <v>5471765.2699999996</v>
      </c>
      <c r="K485" s="373">
        <v>40</v>
      </c>
      <c r="L485" s="374">
        <v>4944105.49</v>
      </c>
      <c r="M485" s="372">
        <v>40</v>
      </c>
      <c r="N485" s="372">
        <v>4933039.5299999993</v>
      </c>
      <c r="O485" s="372">
        <v>4299999.71</v>
      </c>
      <c r="P485" s="369">
        <v>4123905.17</v>
      </c>
      <c r="Q485" s="369">
        <v>950451.90000000037</v>
      </c>
    </row>
    <row r="486" spans="1:17" ht="12" customHeight="1">
      <c r="A486" s="93"/>
      <c r="B486" s="362" t="s">
        <v>1233</v>
      </c>
      <c r="C486" s="363" t="s">
        <v>1272</v>
      </c>
      <c r="D486" s="363" t="s">
        <v>175</v>
      </c>
      <c r="E486" s="364" t="s">
        <v>1273</v>
      </c>
      <c r="F486" s="365">
        <v>9309534.0099999998</v>
      </c>
      <c r="G486" s="364">
        <v>70</v>
      </c>
      <c r="H486" s="365">
        <v>9521750.3599999994</v>
      </c>
      <c r="I486" s="364">
        <v>70</v>
      </c>
      <c r="J486" s="366">
        <v>8950892.7599999998</v>
      </c>
      <c r="K486" s="367">
        <v>70</v>
      </c>
      <c r="L486" s="368">
        <v>9550065.9299999997</v>
      </c>
      <c r="M486" s="366">
        <v>68</v>
      </c>
      <c r="N486" s="366">
        <v>9292993.8500000015</v>
      </c>
      <c r="O486" s="366">
        <v>4521587.53</v>
      </c>
      <c r="P486" s="362">
        <v>4324662.57</v>
      </c>
      <c r="Q486" s="363">
        <v>16540.159999998286</v>
      </c>
    </row>
    <row r="487" spans="1:17" ht="12" customHeight="1">
      <c r="A487" s="93"/>
      <c r="B487" s="369" t="s">
        <v>1235</v>
      </c>
      <c r="C487" s="369" t="s">
        <v>1274</v>
      </c>
      <c r="D487" s="369" t="s">
        <v>179</v>
      </c>
      <c r="E487" s="370" t="s">
        <v>1273</v>
      </c>
      <c r="F487" s="377">
        <v>3003021.33</v>
      </c>
      <c r="G487" s="378">
        <v>34</v>
      </c>
      <c r="H487" s="371">
        <v>3096559.85</v>
      </c>
      <c r="I487" s="370">
        <v>34</v>
      </c>
      <c r="J487" s="372">
        <v>2896002.3899999997</v>
      </c>
      <c r="K487" s="373">
        <v>34</v>
      </c>
      <c r="L487" s="374">
        <v>2853978.45</v>
      </c>
      <c r="M487" s="372">
        <v>34</v>
      </c>
      <c r="N487" s="372">
        <v>2719769.14</v>
      </c>
      <c r="O487" s="372">
        <v>9231900.1799999997</v>
      </c>
      <c r="P487" s="369">
        <v>10157812.09</v>
      </c>
      <c r="Q487" s="369">
        <v>283252.18999999994</v>
      </c>
    </row>
    <row r="488" spans="1:17" ht="12" customHeight="1">
      <c r="A488" s="93"/>
      <c r="B488" s="362" t="s">
        <v>1237</v>
      </c>
      <c r="C488" s="363" t="s">
        <v>1272</v>
      </c>
      <c r="D488" s="363" t="s">
        <v>151</v>
      </c>
      <c r="E488" s="364" t="s">
        <v>1273</v>
      </c>
      <c r="F488" s="365">
        <v>4652852.8599999994</v>
      </c>
      <c r="G488" s="364">
        <v>40</v>
      </c>
      <c r="H488" s="365">
        <v>5216550.2699999996</v>
      </c>
      <c r="I488" s="364">
        <v>40</v>
      </c>
      <c r="J488" s="366">
        <v>5014429.01</v>
      </c>
      <c r="K488" s="367">
        <v>40</v>
      </c>
      <c r="L488" s="368">
        <v>4538896</v>
      </c>
      <c r="M488" s="366">
        <v>40</v>
      </c>
      <c r="N488" s="366">
        <v>4493319.3599999994</v>
      </c>
      <c r="O488" s="366">
        <v>2457553.86</v>
      </c>
      <c r="P488" s="362">
        <v>2629897.11</v>
      </c>
      <c r="Q488" s="363">
        <v>159533.5</v>
      </c>
    </row>
    <row r="489" spans="1:17" ht="12" customHeight="1">
      <c r="A489" s="93"/>
      <c r="B489" s="369" t="s">
        <v>1239</v>
      </c>
      <c r="C489" s="369" t="s">
        <v>1272</v>
      </c>
      <c r="D489" s="369" t="s">
        <v>174</v>
      </c>
      <c r="E489" s="370" t="s">
        <v>1271</v>
      </c>
      <c r="F489" s="377">
        <v>4077934.49</v>
      </c>
      <c r="G489" s="378">
        <v>50</v>
      </c>
      <c r="H489" s="371">
        <v>4143406.3099999996</v>
      </c>
      <c r="I489" s="370">
        <v>50</v>
      </c>
      <c r="J489" s="372">
        <v>3499391.5</v>
      </c>
      <c r="K489" s="373">
        <v>50</v>
      </c>
      <c r="L489" s="374">
        <v>3024537.67</v>
      </c>
      <c r="M489" s="372">
        <v>50</v>
      </c>
      <c r="N489" s="372">
        <v>2777112.5599999996</v>
      </c>
      <c r="O489" s="372">
        <v>4543184.3599999994</v>
      </c>
      <c r="P489" s="369">
        <v>4823279.67</v>
      </c>
      <c r="Q489" s="369">
        <v>1300821.9300000006</v>
      </c>
    </row>
    <row r="490" spans="1:17" ht="12" customHeight="1">
      <c r="A490" s="93"/>
      <c r="B490" s="362" t="s">
        <v>1243</v>
      </c>
      <c r="C490" s="363" t="s">
        <v>1274</v>
      </c>
      <c r="D490" s="363" t="s">
        <v>127</v>
      </c>
      <c r="E490" s="364" t="s">
        <v>1273</v>
      </c>
      <c r="F490" s="365">
        <v>6428309.1600000001</v>
      </c>
      <c r="G490" s="364">
        <v>40</v>
      </c>
      <c r="H490" s="365">
        <v>5999586.8300000001</v>
      </c>
      <c r="I490" s="364">
        <v>40</v>
      </c>
      <c r="J490" s="366">
        <v>5461155.1999999993</v>
      </c>
      <c r="K490" s="367">
        <v>40</v>
      </c>
      <c r="L490" s="368">
        <v>5884361.75</v>
      </c>
      <c r="M490" s="366">
        <v>40</v>
      </c>
      <c r="N490" s="366">
        <v>5751924.8800000008</v>
      </c>
      <c r="O490" s="366">
        <v>1247627.1400000001</v>
      </c>
      <c r="P490" s="362">
        <v>1128394.3700000001</v>
      </c>
      <c r="Q490" s="363">
        <v>676384.27999999933</v>
      </c>
    </row>
    <row r="491" spans="1:17" ht="12" customHeight="1">
      <c r="A491" s="93"/>
      <c r="B491" s="369" t="s">
        <v>1245</v>
      </c>
      <c r="C491" s="369" t="s">
        <v>1274</v>
      </c>
      <c r="D491" s="369" t="s">
        <v>107</v>
      </c>
      <c r="E491" s="370" t="s">
        <v>1271</v>
      </c>
      <c r="F491" s="377">
        <v>5616471.6399999997</v>
      </c>
      <c r="G491" s="378">
        <v>68</v>
      </c>
      <c r="H491" s="371">
        <v>5655639.8699999992</v>
      </c>
      <c r="I491" s="370">
        <v>68</v>
      </c>
      <c r="J491" s="372">
        <v>5136074.6300000008</v>
      </c>
      <c r="K491" s="373">
        <v>68</v>
      </c>
      <c r="L491" s="374">
        <v>5091209.67</v>
      </c>
      <c r="M491" s="372">
        <v>68</v>
      </c>
      <c r="N491" s="372">
        <v>5272166.76</v>
      </c>
      <c r="O491" s="372">
        <v>5245330.1300000008</v>
      </c>
      <c r="P491" s="369">
        <v>5544801.5999999996</v>
      </c>
      <c r="Q491" s="369">
        <v>344304.87999999989</v>
      </c>
    </row>
    <row r="492" spans="1:17" ht="12" customHeight="1">
      <c r="A492" s="93"/>
      <c r="B492" s="362" t="s">
        <v>1247</v>
      </c>
      <c r="C492" s="363" t="s">
        <v>1274</v>
      </c>
      <c r="D492" s="363" t="s">
        <v>107</v>
      </c>
      <c r="E492" s="364" t="s">
        <v>1271</v>
      </c>
      <c r="F492" s="365">
        <v>303361.48</v>
      </c>
      <c r="G492" s="364">
        <v>15</v>
      </c>
      <c r="H492" s="365">
        <v>396717.93</v>
      </c>
      <c r="I492" s="364">
        <v>15</v>
      </c>
      <c r="J492" s="366">
        <v>476437.4</v>
      </c>
      <c r="K492" s="367">
        <v>15</v>
      </c>
      <c r="L492" s="368">
        <v>463261.15</v>
      </c>
      <c r="M492" s="366">
        <v>15</v>
      </c>
      <c r="N492" s="366">
        <v>446603.21</v>
      </c>
      <c r="O492" s="366">
        <v>5032701.7</v>
      </c>
      <c r="P492" s="362">
        <v>5054801.78</v>
      </c>
      <c r="Q492" s="363">
        <v>-143241.73000000004</v>
      </c>
    </row>
    <row r="493" spans="1:17" ht="12" customHeight="1">
      <c r="A493" s="93"/>
      <c r="B493" s="369" t="s">
        <v>1249</v>
      </c>
      <c r="C493" s="369" t="s">
        <v>1274</v>
      </c>
      <c r="D493" s="369" t="s">
        <v>107</v>
      </c>
      <c r="E493" s="370" t="s">
        <v>1271</v>
      </c>
      <c r="F493" s="377">
        <v>4076516.65</v>
      </c>
      <c r="G493" s="378">
        <v>55</v>
      </c>
      <c r="H493" s="371">
        <v>4329218.88</v>
      </c>
      <c r="I493" s="370">
        <v>55</v>
      </c>
      <c r="J493" s="372">
        <v>4139810.4000000004</v>
      </c>
      <c r="K493" s="373">
        <v>48</v>
      </c>
      <c r="L493" s="374">
        <v>4115557.5999999996</v>
      </c>
      <c r="M493" s="372">
        <v>48</v>
      </c>
      <c r="N493" s="372">
        <v>3954810.94</v>
      </c>
      <c r="O493" s="372">
        <v>362213.89</v>
      </c>
      <c r="P493" s="369">
        <v>409135.51</v>
      </c>
      <c r="Q493" s="369">
        <v>121705.70999999996</v>
      </c>
    </row>
    <row r="494" spans="1:17" ht="12" customHeight="1">
      <c r="A494" s="93"/>
      <c r="B494" s="362" t="s">
        <v>1253</v>
      </c>
      <c r="C494" s="363" t="s">
        <v>1272</v>
      </c>
      <c r="D494" s="363" t="s">
        <v>142</v>
      </c>
      <c r="E494" s="364" t="s">
        <v>1271</v>
      </c>
      <c r="F494" s="365">
        <v>4047224.1</v>
      </c>
      <c r="G494" s="364">
        <v>70</v>
      </c>
      <c r="H494" s="365">
        <v>4437921.99</v>
      </c>
      <c r="I494" s="364">
        <v>70</v>
      </c>
      <c r="J494" s="366">
        <v>4329844.87</v>
      </c>
      <c r="K494" s="367">
        <v>70</v>
      </c>
      <c r="L494" s="368">
        <v>4321156.8</v>
      </c>
      <c r="M494" s="366">
        <v>70</v>
      </c>
      <c r="N494" s="366">
        <v>3820376.24</v>
      </c>
      <c r="O494" s="366">
        <v>1243852.81</v>
      </c>
      <c r="P494" s="362">
        <v>1322352.06</v>
      </c>
      <c r="Q494" s="363">
        <v>226847.85999999987</v>
      </c>
    </row>
    <row r="495" spans="1:17" ht="12" customHeight="1">
      <c r="A495" s="93"/>
      <c r="B495" s="369" t="s">
        <v>1318</v>
      </c>
      <c r="C495" s="369" t="s">
        <v>1274</v>
      </c>
      <c r="D495" s="369" t="s">
        <v>172</v>
      </c>
      <c r="E495" s="370" t="s">
        <v>1271</v>
      </c>
      <c r="F495" s="377">
        <v>2528457.12</v>
      </c>
      <c r="G495" s="378">
        <v>37</v>
      </c>
      <c r="H495" s="371">
        <v>2591669.84</v>
      </c>
      <c r="I495" s="370">
        <v>37</v>
      </c>
      <c r="J495" s="372">
        <v>2513315.83</v>
      </c>
      <c r="K495" s="373">
        <v>37</v>
      </c>
      <c r="L495" s="374">
        <v>2387632.1100000003</v>
      </c>
      <c r="M495" s="372">
        <v>37</v>
      </c>
      <c r="N495" s="372">
        <v>2388216.84</v>
      </c>
      <c r="O495" s="372">
        <v>2409634.88</v>
      </c>
      <c r="P495" s="369">
        <v>2410388.33</v>
      </c>
      <c r="Q495" s="369">
        <v>140240.28000000026</v>
      </c>
    </row>
    <row r="496" spans="1:17" ht="12" customHeight="1">
      <c r="A496" s="93"/>
      <c r="B496" s="362" t="s">
        <v>1257</v>
      </c>
      <c r="C496" s="363" t="s">
        <v>1272</v>
      </c>
      <c r="D496" s="363" t="s">
        <v>144</v>
      </c>
      <c r="E496" s="364" t="s">
        <v>1271</v>
      </c>
      <c r="F496" s="365">
        <v>6054253.7999999998</v>
      </c>
      <c r="G496" s="364">
        <v>103</v>
      </c>
      <c r="H496" s="365">
        <v>6208308.3499999996</v>
      </c>
      <c r="I496" s="364">
        <v>103</v>
      </c>
      <c r="J496" s="366">
        <v>5554510.9500000002</v>
      </c>
      <c r="K496" s="367">
        <v>102</v>
      </c>
      <c r="L496" s="368">
        <v>5131961.43</v>
      </c>
      <c r="M496" s="366">
        <v>103</v>
      </c>
      <c r="N496" s="366">
        <v>4690168.3900000006</v>
      </c>
      <c r="O496" s="366">
        <v>4050304.33</v>
      </c>
      <c r="P496" s="362">
        <v>4456330.01</v>
      </c>
      <c r="Q496" s="363">
        <v>1364085.4099999992</v>
      </c>
    </row>
    <row r="497" spans="1:17" ht="12" customHeight="1">
      <c r="A497" s="93"/>
      <c r="B497" s="369" t="s">
        <v>1259</v>
      </c>
      <c r="C497" s="369" t="s">
        <v>1272</v>
      </c>
      <c r="D497" s="369" t="s">
        <v>144</v>
      </c>
      <c r="E497" s="370" t="s">
        <v>1271</v>
      </c>
      <c r="F497" s="377">
        <v>13457800</v>
      </c>
      <c r="G497" s="378">
        <v>76</v>
      </c>
      <c r="H497" s="371">
        <v>13283937.219999999</v>
      </c>
      <c r="I497" s="370">
        <v>76</v>
      </c>
      <c r="J497" s="372">
        <v>13791166.280000001</v>
      </c>
      <c r="K497" s="373">
        <v>76</v>
      </c>
      <c r="L497" s="374">
        <v>13542556.48</v>
      </c>
      <c r="M497" s="372">
        <v>76</v>
      </c>
      <c r="N497" s="372">
        <v>13606750.170000002</v>
      </c>
      <c r="O497" s="372">
        <v>4259690.1399999997</v>
      </c>
      <c r="P497" s="369">
        <v>3681318.43</v>
      </c>
      <c r="Q497" s="369">
        <v>-148950.17000000179</v>
      </c>
    </row>
    <row r="498" spans="1:17" ht="12" customHeight="1">
      <c r="A498" s="93"/>
      <c r="B498" s="362" t="s">
        <v>1255</v>
      </c>
      <c r="C498" s="363" t="s">
        <v>1272</v>
      </c>
      <c r="D498" s="363" t="s">
        <v>144</v>
      </c>
      <c r="E498" s="364" t="s">
        <v>1271</v>
      </c>
      <c r="F498" s="365">
        <v>2278550.25</v>
      </c>
      <c r="G498" s="364">
        <v>29</v>
      </c>
      <c r="H498" s="365">
        <v>1860788.08</v>
      </c>
      <c r="I498" s="364">
        <v>29</v>
      </c>
      <c r="J498" s="366">
        <v>1666173.44</v>
      </c>
      <c r="K498" s="367">
        <v>29</v>
      </c>
      <c r="L498" s="368">
        <v>2126652.3200000003</v>
      </c>
      <c r="M498" s="366">
        <v>28</v>
      </c>
      <c r="N498" s="366">
        <v>1954220.98</v>
      </c>
      <c r="O498" s="366">
        <v>13339252.850000001</v>
      </c>
      <c r="P498" s="362">
        <v>12921419.33</v>
      </c>
      <c r="Q498" s="363">
        <v>324329.27</v>
      </c>
    </row>
    <row r="499" spans="1:17" ht="12" customHeight="1">
      <c r="A499" s="93"/>
      <c r="B499" s="369" t="s">
        <v>1261</v>
      </c>
      <c r="C499" s="369" t="s">
        <v>1272</v>
      </c>
      <c r="D499" s="369" t="s">
        <v>177</v>
      </c>
      <c r="E499" s="370" t="s">
        <v>1273</v>
      </c>
      <c r="F499" s="377">
        <v>5599732.1299999999</v>
      </c>
      <c r="G499" s="378">
        <v>70</v>
      </c>
      <c r="H499" s="371">
        <v>5652085.5899999999</v>
      </c>
      <c r="I499" s="370">
        <v>70</v>
      </c>
      <c r="J499" s="372">
        <v>5703470.5800000001</v>
      </c>
      <c r="K499" s="373">
        <v>70</v>
      </c>
      <c r="L499" s="374">
        <v>6237609.8399999999</v>
      </c>
      <c r="M499" s="372">
        <v>70</v>
      </c>
      <c r="N499" s="372">
        <v>6694617.0700000003</v>
      </c>
      <c r="O499" s="372">
        <v>1883217.94</v>
      </c>
      <c r="P499" s="369">
        <v>2023395.18</v>
      </c>
      <c r="Q499" s="369">
        <v>-1094884.9400000004</v>
      </c>
    </row>
    <row r="500" spans="1:17" ht="12" customHeight="1">
      <c r="A500" s="93"/>
      <c r="B500" s="362" t="s">
        <v>1268</v>
      </c>
      <c r="C500" s="363" t="s">
        <v>1272</v>
      </c>
      <c r="D500" s="363" t="s">
        <v>138</v>
      </c>
      <c r="E500" s="364" t="s">
        <v>1273</v>
      </c>
      <c r="F500" s="365">
        <v>11916286.300000001</v>
      </c>
      <c r="G500" s="364">
        <v>80</v>
      </c>
      <c r="H500" s="365">
        <v>12543067.710000001</v>
      </c>
      <c r="I500" s="364">
        <v>80</v>
      </c>
      <c r="J500" s="366">
        <v>12332123.59</v>
      </c>
      <c r="K500" s="367">
        <v>80</v>
      </c>
      <c r="L500" s="368">
        <v>12571090.25</v>
      </c>
      <c r="M500" s="366">
        <v>80</v>
      </c>
      <c r="N500" s="366">
        <v>12399490.77</v>
      </c>
      <c r="O500" s="366">
        <v>6764259.4299999997</v>
      </c>
      <c r="P500" s="362">
        <v>7043150.0600000005</v>
      </c>
      <c r="Q500" s="363">
        <v>-483204.46999999881</v>
      </c>
    </row>
    <row r="501" spans="1:17" ht="12" customHeight="1">
      <c r="A501" s="93"/>
      <c r="B501" s="369" t="s">
        <v>1402</v>
      </c>
      <c r="C501" s="369" t="s">
        <v>1274</v>
      </c>
      <c r="D501" s="369" t="s">
        <v>105</v>
      </c>
      <c r="E501" s="370" t="s">
        <v>1273</v>
      </c>
      <c r="F501" s="377">
        <v>13199280.84</v>
      </c>
      <c r="G501" s="378">
        <v>105</v>
      </c>
      <c r="H501" s="371">
        <v>12532146.649999999</v>
      </c>
      <c r="I501" s="370">
        <v>105</v>
      </c>
      <c r="J501" s="372">
        <v>11252963.48</v>
      </c>
      <c r="K501" s="373">
        <v>105</v>
      </c>
      <c r="L501" s="374">
        <v>11795085.629999999</v>
      </c>
      <c r="M501" s="372">
        <v>105</v>
      </c>
      <c r="N501" s="372">
        <v>11566408.02</v>
      </c>
      <c r="O501" s="372">
        <v>11218900.129999999</v>
      </c>
      <c r="P501" s="369">
        <v>10256679.33</v>
      </c>
      <c r="Q501" s="369">
        <v>1632872.8200000003</v>
      </c>
    </row>
    <row r="502" spans="1:17" ht="12" customHeight="1">
      <c r="A502" s="93"/>
      <c r="B502" s="362" t="s">
        <v>1403</v>
      </c>
      <c r="C502" s="363" t="s">
        <v>1272</v>
      </c>
      <c r="D502" s="363" t="s">
        <v>124</v>
      </c>
      <c r="E502" s="364" t="s">
        <v>1273</v>
      </c>
      <c r="F502" s="365">
        <v>12562449.940000001</v>
      </c>
      <c r="G502" s="364">
        <v>100</v>
      </c>
      <c r="H502" s="365">
        <v>13063234.460000001</v>
      </c>
      <c r="I502" s="364">
        <v>100</v>
      </c>
      <c r="J502" s="366">
        <v>12952056.65</v>
      </c>
      <c r="K502" s="367">
        <v>100</v>
      </c>
      <c r="L502" s="368">
        <v>12589484.58</v>
      </c>
      <c r="M502" s="366">
        <v>99</v>
      </c>
      <c r="N502" s="366">
        <v>12713694.140000001</v>
      </c>
      <c r="O502" s="366">
        <v>12357130.25</v>
      </c>
      <c r="P502" s="362">
        <v>12130181.76</v>
      </c>
      <c r="Q502" s="363">
        <v>-151244.19999999925</v>
      </c>
    </row>
    <row r="503" spans="1:17" ht="12" customHeight="1">
      <c r="A503" s="93"/>
      <c r="H503"/>
      <c r="K503"/>
      <c r="L503"/>
    </row>
    <row r="504" spans="1:17" ht="12" customHeight="1">
      <c r="A504" s="93"/>
      <c r="F504" s="382"/>
      <c r="H504"/>
      <c r="K504"/>
      <c r="L504"/>
    </row>
    <row r="505" spans="1:17" ht="12" customHeight="1">
      <c r="A505" s="93"/>
      <c r="H505"/>
      <c r="K505"/>
      <c r="L505"/>
    </row>
    <row r="506" spans="1:17" ht="12" customHeight="1">
      <c r="A506" s="93"/>
      <c r="H506"/>
      <c r="K506"/>
      <c r="L506"/>
    </row>
    <row r="507" spans="1:17" ht="12" customHeight="1">
      <c r="A507" s="93"/>
      <c r="H507"/>
      <c r="K507"/>
      <c r="L507"/>
    </row>
    <row r="508" spans="1:17" ht="12" customHeight="1">
      <c r="A508" s="93"/>
      <c r="H508"/>
      <c r="K508"/>
      <c r="L508"/>
    </row>
    <row r="509" spans="1:17" ht="12" customHeight="1">
      <c r="A509" s="93"/>
      <c r="H509"/>
      <c r="K509"/>
      <c r="L509"/>
    </row>
    <row r="510" spans="1:17" ht="12" customHeight="1">
      <c r="A510" s="93"/>
      <c r="H510"/>
      <c r="K510"/>
      <c r="L510"/>
    </row>
    <row r="511" spans="1:17" ht="12" customHeight="1">
      <c r="A511" s="93"/>
      <c r="H511"/>
      <c r="K511"/>
      <c r="L511"/>
    </row>
    <row r="512" spans="1:17" ht="12" customHeight="1">
      <c r="A512" s="93"/>
      <c r="H512"/>
      <c r="K512"/>
      <c r="L512"/>
    </row>
    <row r="513" spans="1:12" ht="12" customHeight="1">
      <c r="A513" s="93"/>
      <c r="H513"/>
      <c r="K513"/>
      <c r="L513"/>
    </row>
    <row r="514" spans="1:12" ht="12" customHeight="1">
      <c r="A514" s="93"/>
      <c r="H514"/>
      <c r="K514"/>
      <c r="L514"/>
    </row>
    <row r="515" spans="1:12" ht="12" customHeight="1">
      <c r="A515" s="93"/>
      <c r="H515"/>
      <c r="K515"/>
      <c r="L515"/>
    </row>
    <row r="516" spans="1:12" ht="12" customHeight="1">
      <c r="A516" s="93"/>
      <c r="H516"/>
      <c r="K516"/>
      <c r="L516"/>
    </row>
    <row r="517" spans="1:12" ht="12" customHeight="1">
      <c r="A517" s="93"/>
      <c r="H517"/>
      <c r="K517"/>
      <c r="L517"/>
    </row>
    <row r="518" spans="1:12" ht="12" customHeight="1">
      <c r="A518" s="93"/>
      <c r="H518"/>
      <c r="K518"/>
      <c r="L518"/>
    </row>
    <row r="519" spans="1:12" ht="12" customHeight="1">
      <c r="A519" s="93"/>
      <c r="H519"/>
      <c r="K519"/>
      <c r="L519"/>
    </row>
    <row r="520" spans="1:12" ht="12" customHeight="1">
      <c r="A520" s="93"/>
      <c r="H520"/>
      <c r="K520"/>
      <c r="L520"/>
    </row>
    <row r="521" spans="1:12">
      <c r="A521" s="93"/>
      <c r="H521"/>
      <c r="K521"/>
      <c r="L521"/>
    </row>
    <row r="522" spans="1:12">
      <c r="H522"/>
      <c r="K522"/>
      <c r="L522"/>
    </row>
    <row r="523" spans="1:12">
      <c r="A523" s="93"/>
      <c r="H523"/>
      <c r="K523"/>
      <c r="L523"/>
    </row>
    <row r="524" spans="1:12">
      <c r="A524" s="93"/>
      <c r="H524"/>
      <c r="K524"/>
      <c r="L524"/>
    </row>
    <row r="525" spans="1:12">
      <c r="A525" s="93"/>
      <c r="H525"/>
      <c r="K525"/>
      <c r="L525"/>
    </row>
    <row r="526" spans="1:12">
      <c r="A526" s="93"/>
      <c r="H526"/>
      <c r="K526"/>
      <c r="L526"/>
    </row>
  </sheetData>
  <sheetProtection password="CF21" sheet="1" objects="1" scenarios="1" autoFilter="0"/>
  <autoFilter ref="B5:E503" xr:uid="{00000000-0009-0000-0000-000006000000}"/>
  <sortState xmlns:xlrd2="http://schemas.microsoft.com/office/spreadsheetml/2017/richdata2" ref="B6:T508">
    <sortCondition ref="B6:B508"/>
  </sortState>
  <mergeCells count="3">
    <mergeCell ref="H2:M2"/>
    <mergeCell ref="D3:E3"/>
    <mergeCell ref="N1:O2"/>
  </mergeCells>
  <hyperlinks>
    <hyperlink ref="N1:O2" location="Front!E1" display="Front!E1" xr:uid="{00000000-0004-0000-0600-000000000000}"/>
  </hyperlinks>
  <pageMargins left="0.39370078740157483" right="0.39370078740157483" top="0.39370078740157483" bottom="0.39370078740157483" header="0.39370078740157483" footer="0.31496062992125984"/>
  <pageSetup paperSize="9" scale="67" fitToHeight="10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C484"/>
  <sheetViews>
    <sheetView showGridLines="0" topLeftCell="D1" zoomScale="55" zoomScaleNormal="55" workbookViewId="0">
      <selection activeCell="D8" sqref="D8:AH8"/>
    </sheetView>
  </sheetViews>
  <sheetFormatPr defaultColWidth="17.28515625" defaultRowHeight="12.75"/>
  <cols>
    <col min="1" max="1" width="4.5703125" style="120" customWidth="1"/>
    <col min="2" max="2" width="24.5703125" style="120" customWidth="1"/>
    <col min="3" max="3" width="58" style="139" customWidth="1"/>
    <col min="4" max="34" width="14.5703125" style="121" customWidth="1"/>
    <col min="35" max="36" width="22.7109375" style="122" customWidth="1"/>
    <col min="37" max="44" width="17.28515625" style="123" customWidth="1"/>
    <col min="45" max="16384" width="17.28515625" style="120"/>
  </cols>
  <sheetData>
    <row r="1" spans="1:159" ht="30.75" customHeight="1">
      <c r="C1" s="416" t="s">
        <v>1326</v>
      </c>
      <c r="D1" s="416"/>
      <c r="E1" s="416"/>
      <c r="F1" s="416"/>
      <c r="G1" s="416"/>
      <c r="H1" s="416"/>
      <c r="I1" s="416"/>
      <c r="J1" s="417" t="s">
        <v>1385</v>
      </c>
      <c r="K1" s="417"/>
      <c r="L1" s="417"/>
      <c r="M1" s="417"/>
      <c r="N1" s="417"/>
      <c r="O1" s="417"/>
      <c r="P1" s="417"/>
      <c r="Q1" s="417"/>
    </row>
    <row r="2" spans="1:159" ht="17.25" customHeight="1">
      <c r="C2" s="121"/>
    </row>
    <row r="3" spans="1:159" s="124" customFormat="1" ht="31.5" customHeight="1">
      <c r="C3" s="125"/>
      <c r="D3" s="126" t="s">
        <v>1327</v>
      </c>
      <c r="E3" s="126" t="s">
        <v>1328</v>
      </c>
      <c r="F3" s="126" t="s">
        <v>1329</v>
      </c>
      <c r="G3" s="126" t="s">
        <v>1330</v>
      </c>
      <c r="H3" s="126" t="s">
        <v>1331</v>
      </c>
      <c r="I3" s="126" t="s">
        <v>1332</v>
      </c>
      <c r="J3" s="126" t="s">
        <v>1333</v>
      </c>
      <c r="K3" s="126" t="s">
        <v>1334</v>
      </c>
      <c r="L3" s="126" t="s">
        <v>1335</v>
      </c>
      <c r="M3" s="126" t="s">
        <v>1336</v>
      </c>
      <c r="N3" s="126" t="s">
        <v>1337</v>
      </c>
      <c r="O3" s="126" t="s">
        <v>1338</v>
      </c>
      <c r="P3" s="126" t="s">
        <v>1339</v>
      </c>
      <c r="Q3" s="126" t="s">
        <v>1340</v>
      </c>
      <c r="R3" s="126" t="s">
        <v>1341</v>
      </c>
      <c r="S3" s="126" t="s">
        <v>1342</v>
      </c>
      <c r="T3" s="126" t="s">
        <v>1343</v>
      </c>
      <c r="U3" s="126" t="s">
        <v>1344</v>
      </c>
      <c r="V3" s="126" t="s">
        <v>1345</v>
      </c>
      <c r="W3" s="126" t="s">
        <v>1346</v>
      </c>
      <c r="X3" s="126" t="s">
        <v>1347</v>
      </c>
      <c r="Y3" s="126" t="s">
        <v>1348</v>
      </c>
      <c r="Z3" s="126" t="s">
        <v>1349</v>
      </c>
      <c r="AA3" s="126" t="s">
        <v>1350</v>
      </c>
      <c r="AB3" s="126" t="s">
        <v>1351</v>
      </c>
      <c r="AC3" s="126" t="s">
        <v>1352</v>
      </c>
      <c r="AD3" s="126" t="s">
        <v>1353</v>
      </c>
      <c r="AE3" s="126" t="s">
        <v>1354</v>
      </c>
      <c r="AF3" s="126" t="s">
        <v>1355</v>
      </c>
      <c r="AG3" s="126" t="s">
        <v>1356</v>
      </c>
      <c r="AH3" s="126" t="s">
        <v>1357</v>
      </c>
      <c r="AI3" s="122"/>
      <c r="AJ3" s="122"/>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row>
    <row r="4" spans="1:159" ht="33" customHeight="1">
      <c r="B4" s="128"/>
      <c r="C4" s="129"/>
      <c r="D4" s="130" t="s">
        <v>106</v>
      </c>
      <c r="E4" s="130" t="s">
        <v>109</v>
      </c>
      <c r="F4" s="130" t="s">
        <v>111</v>
      </c>
      <c r="G4" s="130" t="s">
        <v>112</v>
      </c>
      <c r="H4" s="130" t="s">
        <v>115</v>
      </c>
      <c r="I4" s="130" t="s">
        <v>116</v>
      </c>
      <c r="J4" s="130" t="s">
        <v>120</v>
      </c>
      <c r="K4" s="130" t="s">
        <v>122</v>
      </c>
      <c r="L4" s="130" t="s">
        <v>124</v>
      </c>
      <c r="M4" s="130" t="s">
        <v>128</v>
      </c>
      <c r="N4" s="130" t="s">
        <v>133</v>
      </c>
      <c r="O4" s="130" t="s">
        <v>135</v>
      </c>
      <c r="P4" s="130" t="s">
        <v>137</v>
      </c>
      <c r="Q4" s="130" t="s">
        <v>138</v>
      </c>
      <c r="R4" s="130" t="s">
        <v>142</v>
      </c>
      <c r="S4" s="130" t="s">
        <v>144</v>
      </c>
      <c r="T4" s="130" t="s">
        <v>145</v>
      </c>
      <c r="U4" s="130" t="s">
        <v>146</v>
      </c>
      <c r="V4" s="130" t="s">
        <v>147</v>
      </c>
      <c r="W4" s="130" t="s">
        <v>151</v>
      </c>
      <c r="X4" s="130" t="s">
        <v>152</v>
      </c>
      <c r="Y4" s="130" t="s">
        <v>154</v>
      </c>
      <c r="Z4" s="130" t="s">
        <v>155</v>
      </c>
      <c r="AA4" s="130" t="s">
        <v>1358</v>
      </c>
      <c r="AB4" s="130" t="s">
        <v>161</v>
      </c>
      <c r="AC4" s="130" t="s">
        <v>166</v>
      </c>
      <c r="AD4" s="130" t="s">
        <v>38</v>
      </c>
      <c r="AE4" s="130" t="s">
        <v>174</v>
      </c>
      <c r="AF4" s="130" t="s">
        <v>175</v>
      </c>
      <c r="AG4" s="130" t="s">
        <v>39</v>
      </c>
      <c r="AH4" s="130" t="s">
        <v>177</v>
      </c>
      <c r="AK4" s="131"/>
      <c r="AL4" s="131"/>
      <c r="AM4" s="131"/>
      <c r="AN4" s="131"/>
      <c r="AO4" s="131"/>
      <c r="AP4" s="131"/>
      <c r="AQ4" s="131"/>
      <c r="AR4" s="131"/>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row>
    <row r="5" spans="1:159" s="135" customFormat="1" ht="33" customHeight="1">
      <c r="A5" s="128">
        <v>1</v>
      </c>
      <c r="B5" s="122"/>
      <c r="C5" s="133" t="str">
        <f>Data!B92</f>
        <v>Venues 2019</v>
      </c>
      <c r="D5" s="133">
        <f>Data!C92</f>
        <v>9</v>
      </c>
      <c r="E5" s="133">
        <f>Data!D92</f>
        <v>5</v>
      </c>
      <c r="F5" s="133">
        <f>Data!E92</f>
        <v>4</v>
      </c>
      <c r="G5" s="133">
        <f>Data!F92</f>
        <v>15</v>
      </c>
      <c r="H5" s="133">
        <f>Data!G92</f>
        <v>5</v>
      </c>
      <c r="I5" s="133">
        <f>Data!H92</f>
        <v>13</v>
      </c>
      <c r="J5" s="133">
        <f>Data!I92</f>
        <v>12</v>
      </c>
      <c r="K5" s="133">
        <f>Data!J92</f>
        <v>9</v>
      </c>
      <c r="L5" s="133">
        <f>Data!K92</f>
        <v>11</v>
      </c>
      <c r="M5" s="133">
        <f>Data!L92</f>
        <v>15</v>
      </c>
      <c r="N5" s="133">
        <f>Data!M92</f>
        <v>9</v>
      </c>
      <c r="O5" s="133">
        <f>Data!N92</f>
        <v>14</v>
      </c>
      <c r="P5" s="133">
        <f>Data!O92</f>
        <v>16</v>
      </c>
      <c r="Q5" s="133">
        <f>Data!P92</f>
        <v>11</v>
      </c>
      <c r="R5" s="133">
        <f>Data!Q92</f>
        <v>7</v>
      </c>
      <c r="S5" s="133">
        <f>Data!R92</f>
        <v>9</v>
      </c>
      <c r="T5" s="133">
        <f>Data!S92</f>
        <v>10</v>
      </c>
      <c r="U5" s="133">
        <f>Data!T92</f>
        <v>10</v>
      </c>
      <c r="V5" s="133">
        <f>Data!U92</f>
        <v>7</v>
      </c>
      <c r="W5" s="133">
        <f>Data!V92</f>
        <v>15</v>
      </c>
      <c r="X5" s="133">
        <f>Data!W92</f>
        <v>11</v>
      </c>
      <c r="Y5" s="133">
        <f>Data!X92</f>
        <v>12</v>
      </c>
      <c r="Z5" s="133">
        <f>Data!Y92</f>
        <v>17</v>
      </c>
      <c r="AA5" s="133">
        <f>Data!Z92</f>
        <v>2</v>
      </c>
      <c r="AB5" s="133">
        <f>Data!AA92</f>
        <v>10</v>
      </c>
      <c r="AC5" s="133">
        <f>Data!AB92</f>
        <v>7</v>
      </c>
      <c r="AD5" s="133">
        <f>Data!AC92</f>
        <v>6</v>
      </c>
      <c r="AE5" s="133">
        <f>Data!AD92</f>
        <v>10</v>
      </c>
      <c r="AF5" s="133">
        <f>Data!AE92</f>
        <v>13</v>
      </c>
      <c r="AG5" s="133">
        <f>Data!AF92</f>
        <v>8</v>
      </c>
      <c r="AH5" s="133">
        <f>Data!AG92</f>
        <v>9</v>
      </c>
      <c r="AI5" s="122"/>
      <c r="AJ5" s="122"/>
      <c r="AK5" s="134"/>
      <c r="AL5" s="134"/>
      <c r="AM5" s="134"/>
      <c r="AN5" s="134"/>
      <c r="AO5" s="134"/>
      <c r="AP5" s="134"/>
      <c r="AQ5" s="134"/>
      <c r="AR5" s="134"/>
    </row>
    <row r="6" spans="1:159" s="135" customFormat="1" ht="33" customHeight="1">
      <c r="A6" s="128">
        <v>2</v>
      </c>
      <c r="B6" s="122"/>
      <c r="C6" s="133" t="str">
        <f>Data!B93</f>
        <v>EGMs 2019</v>
      </c>
      <c r="D6" s="133">
        <f>Data!C93</f>
        <v>635</v>
      </c>
      <c r="E6" s="133">
        <f>Data!D93</f>
        <v>208</v>
      </c>
      <c r="F6" s="133">
        <f>Data!E93</f>
        <v>162</v>
      </c>
      <c r="G6" s="133">
        <f>Data!F93</f>
        <v>952</v>
      </c>
      <c r="H6" s="133">
        <f>Data!G93</f>
        <v>325</v>
      </c>
      <c r="I6" s="133">
        <f>Data!H93</f>
        <v>913</v>
      </c>
      <c r="J6" s="133">
        <f>Data!I93</f>
        <v>744</v>
      </c>
      <c r="K6" s="133">
        <f>Data!J93</f>
        <v>519</v>
      </c>
      <c r="L6" s="133">
        <f>Data!K93</f>
        <v>780</v>
      </c>
      <c r="M6" s="133">
        <f>Data!L93</f>
        <v>957</v>
      </c>
      <c r="N6" s="133">
        <f>Data!M93</f>
        <v>535</v>
      </c>
      <c r="O6" s="133">
        <f>Data!N93</f>
        <v>833</v>
      </c>
      <c r="P6" s="133">
        <f>Data!O93</f>
        <v>902</v>
      </c>
      <c r="Q6" s="133">
        <f>Data!P93</f>
        <v>767</v>
      </c>
      <c r="R6" s="133">
        <f>Data!Q93</f>
        <v>522</v>
      </c>
      <c r="S6" s="133">
        <f>Data!R93</f>
        <v>471</v>
      </c>
      <c r="T6" s="133">
        <f>Data!S93</f>
        <v>759</v>
      </c>
      <c r="U6" s="133">
        <f>Data!T93</f>
        <v>702</v>
      </c>
      <c r="V6" s="133">
        <f>Data!U93</f>
        <v>515</v>
      </c>
      <c r="W6" s="133">
        <f>Data!V93</f>
        <v>955</v>
      </c>
      <c r="X6" s="133">
        <f>Data!W93</f>
        <v>745</v>
      </c>
      <c r="Y6" s="133">
        <f>Data!X93</f>
        <v>641</v>
      </c>
      <c r="Z6" s="133">
        <f>Data!Y93</f>
        <v>825</v>
      </c>
      <c r="AA6" s="133">
        <f>Data!Z93</f>
        <v>90</v>
      </c>
      <c r="AB6" s="133">
        <f>Data!AA93</f>
        <v>377</v>
      </c>
      <c r="AC6" s="133">
        <f>Data!AB93</f>
        <v>244</v>
      </c>
      <c r="AD6" s="133">
        <f>Data!AC93</f>
        <v>431</v>
      </c>
      <c r="AE6" s="133">
        <f>Data!AD93</f>
        <v>691</v>
      </c>
      <c r="AF6" s="133">
        <f>Data!AE93</f>
        <v>903</v>
      </c>
      <c r="AG6" s="133">
        <f>Data!AF93</f>
        <v>308</v>
      </c>
      <c r="AH6" s="133">
        <f>Data!AG93</f>
        <v>428</v>
      </c>
      <c r="AI6" s="122"/>
      <c r="AJ6" s="122"/>
      <c r="AK6" s="134"/>
      <c r="AL6" s="134"/>
      <c r="AM6" s="134"/>
      <c r="AN6" s="134"/>
      <c r="AO6" s="134"/>
      <c r="AP6" s="134"/>
      <c r="AQ6" s="134"/>
      <c r="AR6" s="134"/>
    </row>
    <row r="7" spans="1:159" s="135" customFormat="1" ht="33" customHeight="1">
      <c r="A7" s="128">
        <v>3</v>
      </c>
      <c r="B7" s="122"/>
      <c r="C7" s="133">
        <f>Data!B94</f>
        <v>0</v>
      </c>
      <c r="D7" s="133">
        <f>Data!C94</f>
        <v>0</v>
      </c>
      <c r="E7" s="133">
        <f>Data!D94</f>
        <v>0</v>
      </c>
      <c r="F7" s="133">
        <f>Data!E94</f>
        <v>0</v>
      </c>
      <c r="G7" s="133">
        <f>Data!F94</f>
        <v>0</v>
      </c>
      <c r="H7" s="133">
        <f>Data!G94</f>
        <v>0</v>
      </c>
      <c r="I7" s="133">
        <f>Data!H94</f>
        <v>0</v>
      </c>
      <c r="J7" s="133">
        <f>Data!I94</f>
        <v>0</v>
      </c>
      <c r="K7" s="133">
        <f>Data!J94</f>
        <v>0</v>
      </c>
      <c r="L7" s="133">
        <f>Data!K94</f>
        <v>0</v>
      </c>
      <c r="M7" s="133">
        <f>Data!L94</f>
        <v>0</v>
      </c>
      <c r="N7" s="133">
        <f>Data!M94</f>
        <v>0</v>
      </c>
      <c r="O7" s="133">
        <f>Data!N94</f>
        <v>0</v>
      </c>
      <c r="P7" s="133">
        <f>Data!O94</f>
        <v>0</v>
      </c>
      <c r="Q7" s="133">
        <f>Data!P94</f>
        <v>0</v>
      </c>
      <c r="R7" s="133">
        <f>Data!Q94</f>
        <v>0</v>
      </c>
      <c r="S7" s="133">
        <f>Data!R94</f>
        <v>0</v>
      </c>
      <c r="T7" s="133">
        <f>Data!S94</f>
        <v>0</v>
      </c>
      <c r="U7" s="133">
        <f>Data!T94</f>
        <v>0</v>
      </c>
      <c r="V7" s="133">
        <f>Data!U94</f>
        <v>0</v>
      </c>
      <c r="W7" s="133">
        <f>Data!V94</f>
        <v>0</v>
      </c>
      <c r="X7" s="133">
        <f>Data!W94</f>
        <v>0</v>
      </c>
      <c r="Y7" s="133">
        <f>Data!X94</f>
        <v>0</v>
      </c>
      <c r="Z7" s="133">
        <f>Data!Y94</f>
        <v>0</v>
      </c>
      <c r="AA7" s="133">
        <f>Data!Z94</f>
        <v>0</v>
      </c>
      <c r="AB7" s="133">
        <f>Data!AA94</f>
        <v>0</v>
      </c>
      <c r="AC7" s="133">
        <f>Data!AB94</f>
        <v>0</v>
      </c>
      <c r="AD7" s="133">
        <f>Data!AC94</f>
        <v>0</v>
      </c>
      <c r="AE7" s="133">
        <f>Data!AD94</f>
        <v>0</v>
      </c>
      <c r="AF7" s="133">
        <f>Data!AE94</f>
        <v>0</v>
      </c>
      <c r="AG7" s="133">
        <f>Data!AF94</f>
        <v>0</v>
      </c>
      <c r="AH7" s="133">
        <f>Data!AG94</f>
        <v>0</v>
      </c>
      <c r="AI7" s="122"/>
      <c r="AJ7" s="122"/>
      <c r="AK7" s="134"/>
      <c r="AL7" s="134"/>
      <c r="AM7" s="134"/>
      <c r="AN7" s="134"/>
      <c r="AO7" s="134"/>
      <c r="AP7" s="134"/>
      <c r="AQ7" s="134"/>
      <c r="AR7" s="134"/>
    </row>
    <row r="8" spans="1:159" s="135" customFormat="1" ht="33" customHeight="1">
      <c r="A8" s="128">
        <v>4</v>
      </c>
      <c r="B8" s="122"/>
      <c r="C8" s="133" t="str">
        <f>Data!B95</f>
        <v>Losses 18/19 ($Million)</v>
      </c>
      <c r="D8" s="133">
        <f>Data!C95</f>
        <v>57.758108749999998</v>
      </c>
      <c r="E8" s="133">
        <f>Data!D95</f>
        <v>13.80786964</v>
      </c>
      <c r="F8" s="133">
        <f>Data!E95</f>
        <v>20.450974239999997</v>
      </c>
      <c r="G8" s="133">
        <f>Data!F95</f>
        <v>142.90424784000001</v>
      </c>
      <c r="H8" s="133">
        <f>Data!G95</f>
        <v>28.545146739999996</v>
      </c>
      <c r="I8" s="133">
        <f>Data!H95</f>
        <v>132.36062196</v>
      </c>
      <c r="J8" s="133">
        <f>Data!I95</f>
        <v>81.57611009</v>
      </c>
      <c r="K8" s="133">
        <f>Data!J95</f>
        <v>62.253454899999994</v>
      </c>
      <c r="L8" s="133">
        <f>Data!K95</f>
        <v>74.244676720000001</v>
      </c>
      <c r="M8" s="133">
        <f>Data!L95</f>
        <v>119.31187792999999</v>
      </c>
      <c r="N8" s="133">
        <f>Data!M95</f>
        <v>47.042973650000008</v>
      </c>
      <c r="O8" s="133">
        <f>Data!N95</f>
        <v>111.69589407999999</v>
      </c>
      <c r="P8" s="133">
        <f>Data!O95</f>
        <v>85.701350430000005</v>
      </c>
      <c r="Q8" s="133">
        <f>Data!P95</f>
        <v>73.890071239999997</v>
      </c>
      <c r="R8" s="133">
        <f>Data!Q95</f>
        <v>56.358630189999992</v>
      </c>
      <c r="S8" s="133">
        <f>Data!R95</f>
        <v>57.257924750000001</v>
      </c>
      <c r="T8" s="133">
        <f>Data!S95</f>
        <v>62.861488650000005</v>
      </c>
      <c r="U8" s="133">
        <f>Data!T95</f>
        <v>84.505931590000003</v>
      </c>
      <c r="V8" s="133">
        <f>Data!U95</f>
        <v>67.781774819999995</v>
      </c>
      <c r="W8" s="133">
        <f>Data!V95</f>
        <v>110.20989494</v>
      </c>
      <c r="X8" s="133">
        <f>Data!W95</f>
        <v>77.65075856</v>
      </c>
      <c r="Y8" s="133">
        <f>Data!X95</f>
        <v>63.6</v>
      </c>
      <c r="Z8" s="133">
        <f>Data!Y95</f>
        <v>83.35756714999998</v>
      </c>
      <c r="AA8" s="133">
        <f>Data!Z95</f>
        <v>9.8500882300000008</v>
      </c>
      <c r="AB8" s="133">
        <f>Data!AA95</f>
        <v>28.426650629999997</v>
      </c>
      <c r="AC8" s="133">
        <f>Data!AB95</f>
        <v>19.862345299999998</v>
      </c>
      <c r="AD8" s="133">
        <f>Data!AC95</f>
        <v>52.795623890000002</v>
      </c>
      <c r="AE8" s="133">
        <f>Data!AD95</f>
        <v>110.85616775999999</v>
      </c>
      <c r="AF8" s="133">
        <f>Data!AE95</f>
        <v>106.05710217999999</v>
      </c>
      <c r="AG8" s="133">
        <f>Data!AF95</f>
        <v>30.265707479999996</v>
      </c>
      <c r="AH8" s="133">
        <f>Data!AG95</f>
        <v>29.226804269999995</v>
      </c>
      <c r="AI8" s="122"/>
      <c r="AJ8" s="122"/>
      <c r="AK8" s="134"/>
      <c r="AL8" s="134"/>
      <c r="AM8" s="134"/>
      <c r="AN8" s="134"/>
      <c r="AO8" s="134"/>
      <c r="AP8" s="134"/>
      <c r="AQ8" s="134"/>
      <c r="AR8" s="134"/>
    </row>
    <row r="9" spans="1:159" s="135" customFormat="1" ht="33" customHeight="1">
      <c r="A9" s="128">
        <v>5</v>
      </c>
      <c r="B9" s="122"/>
      <c r="C9" s="133" t="str">
        <f>Data!B96</f>
        <v>EGMs per 1,000 adults:
 2019</v>
      </c>
      <c r="D9" s="133">
        <f>Data!C96</f>
        <v>6.2280345259373338</v>
      </c>
      <c r="E9" s="133">
        <f>Data!D96</f>
        <v>2.5232051493551162</v>
      </c>
      <c r="F9" s="133">
        <f>Data!E96</f>
        <v>1.1295712188248062</v>
      </c>
      <c r="G9" s="133">
        <f>Data!F96</f>
        <v>5.8559981434868504</v>
      </c>
      <c r="H9" s="133">
        <f>Data!G96</f>
        <v>4.0479264652097235</v>
      </c>
      <c r="I9" s="133">
        <f>Data!H96</f>
        <v>3.6112217335486712</v>
      </c>
      <c r="J9" s="133">
        <f>Data!I96</f>
        <v>5.6585699900886093</v>
      </c>
      <c r="K9" s="133">
        <f>Data!J96</f>
        <v>4.6823202644810804</v>
      </c>
      <c r="L9" s="133">
        <f>Data!K96</f>
        <v>6.4791921470276508</v>
      </c>
      <c r="M9" s="133">
        <f>Data!L96</f>
        <v>7.2967805743495076</v>
      </c>
      <c r="N9" s="133">
        <f>Data!M96</f>
        <v>7.106838458279654</v>
      </c>
      <c r="O9" s="133">
        <f>Data!N96</f>
        <v>4.950281392376942</v>
      </c>
      <c r="P9" s="133">
        <f>Data!O96</f>
        <v>6.9796939637559596</v>
      </c>
      <c r="Q9" s="133">
        <f>Data!P96</f>
        <v>5.9757721663055312</v>
      </c>
      <c r="R9" s="133">
        <f>Data!Q96</f>
        <v>5.1469294140022575</v>
      </c>
      <c r="S9" s="133">
        <f>Data!R96</f>
        <v>6.1914287087662609</v>
      </c>
      <c r="T9" s="133">
        <f>Data!S96</f>
        <v>8.2776204943203027</v>
      </c>
      <c r="U9" s="133">
        <f>Data!T96</f>
        <v>4.5418221918340356</v>
      </c>
      <c r="V9" s="133">
        <f>Data!U96</f>
        <v>4.3762672532631921</v>
      </c>
      <c r="W9" s="133">
        <f>Data!V96</f>
        <v>5.9435832247171412</v>
      </c>
      <c r="X9" s="133">
        <f>Data!W96</f>
        <v>7.2380292059394868</v>
      </c>
      <c r="Y9" s="133">
        <f>Data!X96</f>
        <v>4.3212452537451611</v>
      </c>
      <c r="Z9" s="133">
        <f>Data!Y96</f>
        <v>6.2489126980740561</v>
      </c>
      <c r="AA9" s="133">
        <f>Data!Z96</f>
        <v>1.8224909307781372</v>
      </c>
      <c r="AB9" s="133">
        <f>Data!AA96</f>
        <v>3.8100590180571889</v>
      </c>
      <c r="AC9" s="133">
        <f>Data!AB96</f>
        <v>2.4655376020203237</v>
      </c>
      <c r="AD9" s="133">
        <f>Data!AC96</f>
        <v>3.0770545441798691</v>
      </c>
      <c r="AE9" s="133">
        <f>Data!AD96</f>
        <v>4.0833831787067147</v>
      </c>
      <c r="AF9" s="133">
        <f>Data!AE96</f>
        <v>4.8087988967636566</v>
      </c>
      <c r="AG9" s="133">
        <f>Data!AF96</f>
        <v>3.5888944138209369</v>
      </c>
      <c r="AH9" s="133">
        <f>Data!AG96</f>
        <v>3.5105959837504708</v>
      </c>
      <c r="AI9" s="122"/>
      <c r="AJ9" s="122"/>
      <c r="AK9" s="134"/>
      <c r="AL9" s="134"/>
      <c r="AM9" s="134"/>
      <c r="AN9" s="134"/>
      <c r="AO9" s="134"/>
      <c r="AP9" s="134"/>
      <c r="AQ9" s="134"/>
      <c r="AR9" s="134"/>
    </row>
    <row r="10" spans="1:159" s="135" customFormat="1" ht="33" customHeight="1">
      <c r="A10" s="128">
        <v>6</v>
      </c>
      <c r="B10" s="122"/>
      <c r="C10" s="133" t="str">
        <f>Data!B97</f>
        <v>Losses per adult: 2018/19</v>
      </c>
      <c r="D10" s="133">
        <f>Data!C97</f>
        <v>566.48739440605232</v>
      </c>
      <c r="E10" s="133">
        <f>Data!D97</f>
        <v>167.5004220061162</v>
      </c>
      <c r="F10" s="133">
        <f>Data!E97</f>
        <v>142.59772776809572</v>
      </c>
      <c r="G10" s="133">
        <f>Data!F97</f>
        <v>879.04097694057225</v>
      </c>
      <c r="H10" s="133">
        <f>Data!G97</f>
        <v>355.5343228988956</v>
      </c>
      <c r="I10" s="133">
        <f>Data!H97</f>
        <v>523.5307280262557</v>
      </c>
      <c r="J10" s="133">
        <f>Data!I97</f>
        <v>620.43565653687995</v>
      </c>
      <c r="K10" s="133">
        <f>Data!J97</f>
        <v>561.63894684437184</v>
      </c>
      <c r="L10" s="133">
        <f>Data!K97</f>
        <v>616.72503379850082</v>
      </c>
      <c r="M10" s="133">
        <f>Data!L97</f>
        <v>909.71012870301331</v>
      </c>
      <c r="N10" s="133">
        <f>Data!M97</f>
        <v>624.90993332272228</v>
      </c>
      <c r="O10" s="133">
        <f>Data!N97</f>
        <v>663.77683801816295</v>
      </c>
      <c r="P10" s="133">
        <f>Data!O97</f>
        <v>663.15875641020534</v>
      </c>
      <c r="Q10" s="133">
        <f>Data!P97</f>
        <v>575.68478628725529</v>
      </c>
      <c r="R10" s="133">
        <f>Data!Q97</f>
        <v>555.69711007238811</v>
      </c>
      <c r="S10" s="133">
        <f>Data!R97</f>
        <v>752.67167537479452</v>
      </c>
      <c r="T10" s="133">
        <f>Data!S97</f>
        <v>685.56462022756671</v>
      </c>
      <c r="U10" s="133">
        <f>Data!T97</f>
        <v>546.73919577930337</v>
      </c>
      <c r="V10" s="133">
        <f>Data!U97</f>
        <v>575.98283788898175</v>
      </c>
      <c r="W10" s="133">
        <f>Data!V97</f>
        <v>685.90752121803405</v>
      </c>
      <c r="X10" s="133">
        <f>Data!W97</f>
        <v>754.414038014276</v>
      </c>
      <c r="Y10" s="133">
        <f>Data!X97</f>
        <v>428.75381924834983</v>
      </c>
      <c r="Z10" s="133">
        <f>Data!Y97</f>
        <v>631.38686041720678</v>
      </c>
      <c r="AA10" s="133">
        <f>Data!Z97</f>
        <v>199.46329407266086</v>
      </c>
      <c r="AB10" s="133">
        <f>Data!AA97</f>
        <v>287.2870466471951</v>
      </c>
      <c r="AC10" s="133">
        <f>Data!AB97</f>
        <v>200.70229180926901</v>
      </c>
      <c r="AD10" s="133">
        <f>Data!AC97</f>
        <v>376.92578747920129</v>
      </c>
      <c r="AE10" s="133">
        <f>Data!AD97</f>
        <v>655.09147711588071</v>
      </c>
      <c r="AF10" s="133">
        <f>Data!AE97</f>
        <v>564.79211069450093</v>
      </c>
      <c r="AG10" s="133">
        <f>Data!AF97</f>
        <v>352.66372891334589</v>
      </c>
      <c r="AH10" s="133">
        <f>Data!AG97</f>
        <v>239.7278076825306</v>
      </c>
      <c r="AI10" s="122"/>
      <c r="AJ10" s="122"/>
      <c r="AK10" s="134"/>
      <c r="AL10" s="134"/>
      <c r="AM10" s="134"/>
      <c r="AN10" s="134"/>
      <c r="AO10" s="134"/>
      <c r="AP10" s="134"/>
      <c r="AQ10" s="134"/>
      <c r="AR10" s="134"/>
    </row>
    <row r="11" spans="1:159" s="135" customFormat="1" ht="33" customHeight="1">
      <c r="A11" s="128">
        <v>7</v>
      </c>
      <c r="B11" s="122"/>
      <c r="C11" s="133" t="str">
        <f>Data!B98</f>
        <v>Per cent change in losses: 
 2017/18 to 2018/19</v>
      </c>
      <c r="D11" s="133">
        <f>Data!C98</f>
        <v>-1.3304395147893324</v>
      </c>
      <c r="E11" s="133">
        <f>Data!D98</f>
        <v>-10.214145044209493</v>
      </c>
      <c r="F11" s="133">
        <f>Data!E98</f>
        <v>0.61605060128118194</v>
      </c>
      <c r="G11" s="133">
        <f>Data!F98</f>
        <v>2.4350155960363171</v>
      </c>
      <c r="H11" s="133">
        <f>Data!G98</f>
        <v>-1.7273884583853372</v>
      </c>
      <c r="I11" s="133">
        <f>Data!H98</f>
        <v>0.6436167982021942</v>
      </c>
      <c r="J11" s="133">
        <f>Data!I98</f>
        <v>-0.67393188096283563</v>
      </c>
      <c r="K11" s="133">
        <f>Data!J98</f>
        <v>-3.6656646625811451</v>
      </c>
      <c r="L11" s="133">
        <f>Data!K98</f>
        <v>-3.7925801031558457</v>
      </c>
      <c r="M11" s="133">
        <f>Data!L98</f>
        <v>-1.7362819851210469</v>
      </c>
      <c r="N11" s="133">
        <f>Data!M98</f>
        <v>-0.83140523267825406</v>
      </c>
      <c r="O11" s="133">
        <f>Data!N98</f>
        <v>1.8901818946600142</v>
      </c>
      <c r="P11" s="133">
        <f>Data!O98</f>
        <v>-0.67166500275029484</v>
      </c>
      <c r="Q11" s="133">
        <f>Data!P98</f>
        <v>-2.5970962157789996</v>
      </c>
      <c r="R11" s="133">
        <f>Data!Q98</f>
        <v>-3.4747706800206344</v>
      </c>
      <c r="S11" s="133">
        <f>Data!R98</f>
        <v>4.2475439213692816</v>
      </c>
      <c r="T11" s="133">
        <f>Data!S98</f>
        <v>-3.7731700799273509</v>
      </c>
      <c r="U11" s="133">
        <f>Data!T98</f>
        <v>0.61104261150771777</v>
      </c>
      <c r="V11" s="133">
        <f>Data!U98</f>
        <v>2.6172885891984476</v>
      </c>
      <c r="W11" s="133">
        <f>Data!V98</f>
        <v>-1.5475746490917022</v>
      </c>
      <c r="X11" s="133">
        <f>Data!W98</f>
        <v>-1.1940790254953966</v>
      </c>
      <c r="Y11" s="133">
        <f>Data!X98</f>
        <v>-0.88668572444482707</v>
      </c>
      <c r="Z11" s="133">
        <f>Data!Y98</f>
        <v>-0.76036097138344749</v>
      </c>
      <c r="AA11" s="133">
        <f>Data!Z98</f>
        <v>9.4702330436237112</v>
      </c>
      <c r="AB11" s="133">
        <f>Data!AA98</f>
        <v>3.3822394081940867</v>
      </c>
      <c r="AC11" s="133">
        <f>Data!AB98</f>
        <v>-4.7498702400193347</v>
      </c>
      <c r="AD11" s="133">
        <f>Data!AC98</f>
        <v>-1.5029689303543481</v>
      </c>
      <c r="AE11" s="133">
        <f>Data!AD98</f>
        <v>1.2591996667546048</v>
      </c>
      <c r="AF11" s="133">
        <f>Data!AE98</f>
        <v>0.5677406238469066</v>
      </c>
      <c r="AG11" s="133">
        <f>Data!AF98</f>
        <v>-2.6084276901986319</v>
      </c>
      <c r="AH11" s="133">
        <f>Data!AG98</f>
        <v>-0.25157184842109803</v>
      </c>
      <c r="AI11" s="122"/>
      <c r="AJ11" s="122"/>
      <c r="AK11" s="134"/>
      <c r="AL11" s="134"/>
      <c r="AM11" s="134"/>
      <c r="AN11" s="134"/>
      <c r="AO11" s="134"/>
      <c r="AP11" s="134"/>
      <c r="AQ11" s="134"/>
      <c r="AR11" s="134"/>
    </row>
    <row r="12" spans="1:159" s="135" customFormat="1" ht="33" customHeight="1">
      <c r="A12" s="128">
        <v>8</v>
      </c>
      <c r="B12" s="122"/>
      <c r="C12" s="133" t="str">
        <f>Data!B99</f>
        <v>Per cent change in losses adjusted for inflation: 
 2017/18 to 2018/19</v>
      </c>
      <c r="D12" s="133">
        <f>Data!C99</f>
        <v>-2.6140851412231192</v>
      </c>
      <c r="E12" s="133">
        <f>Data!D99</f>
        <v>-11.38221774528223</v>
      </c>
      <c r="F12" s="133">
        <f>Data!E99</f>
        <v>-0.69291796681875395</v>
      </c>
      <c r="G12" s="133">
        <f>Data!F99</f>
        <v>1.1023831294790429</v>
      </c>
      <c r="H12" s="133">
        <f>Data!G99</f>
        <v>-3.0058699615286391</v>
      </c>
      <c r="I12" s="133">
        <f>Data!H99</f>
        <v>-0.66571039344830707</v>
      </c>
      <c r="J12" s="133">
        <f>Data!I99</f>
        <v>-1.9661183699355707</v>
      </c>
      <c r="K12" s="133">
        <f>Data!J99</f>
        <v>-4.9189300832760887</v>
      </c>
      <c r="L12" s="133">
        <f>Data!K99</f>
        <v>-5.0441944123081965</v>
      </c>
      <c r="M12" s="133">
        <f>Data!L99</f>
        <v>-3.0146477875696021</v>
      </c>
      <c r="N12" s="133">
        <f>Data!M99</f>
        <v>-2.1215430657310193</v>
      </c>
      <c r="O12" s="133">
        <f>Data!N99</f>
        <v>0.5646374641136912</v>
      </c>
      <c r="P12" s="133">
        <f>Data!O99</f>
        <v>-1.9638809827665547</v>
      </c>
      <c r="Q12" s="133">
        <f>Data!P99</f>
        <v>-3.8642632207775409</v>
      </c>
      <c r="R12" s="133">
        <f>Data!Q99</f>
        <v>-4.7305195436803906</v>
      </c>
      <c r="S12" s="133">
        <f>Data!R99</f>
        <v>2.8913312944650853</v>
      </c>
      <c r="T12" s="133">
        <f>Data!S99</f>
        <v>-5.0250369045596797</v>
      </c>
      <c r="U12" s="133">
        <f>Data!T99</f>
        <v>-0.69786080494729863</v>
      </c>
      <c r="V12" s="133">
        <f>Data!U99</f>
        <v>1.3647671940382275</v>
      </c>
      <c r="W12" s="133">
        <f>Data!V99</f>
        <v>-2.8283954472388224</v>
      </c>
      <c r="X12" s="133">
        <f>Data!W99</f>
        <v>-2.4794986392140261</v>
      </c>
      <c r="Y12" s="133">
        <f>Data!X99</f>
        <v>-2.1761043837105047</v>
      </c>
      <c r="Z12" s="133">
        <f>Data!Y99</f>
        <v>-2.0514230576186989</v>
      </c>
      <c r="AA12" s="133">
        <f>Data!Z99</f>
        <v>8.0460756319547091</v>
      </c>
      <c r="AB12" s="133">
        <f>Data!AA99</f>
        <v>2.0372839952513981</v>
      </c>
      <c r="AC12" s="133">
        <f>Data!AB99</f>
        <v>-5.9890306445290662</v>
      </c>
      <c r="AD12" s="133">
        <f>Data!AC99</f>
        <v>-2.7843700283982971</v>
      </c>
      <c r="AE12" s="133">
        <f>Data!AD99</f>
        <v>-5.8135975050519657E-2</v>
      </c>
      <c r="AF12" s="133">
        <f>Data!AE99</f>
        <v>-0.74059945365327617</v>
      </c>
      <c r="AG12" s="133">
        <f>Data!AF99</f>
        <v>-3.8754472779237137</v>
      </c>
      <c r="AH12" s="133">
        <f>Data!AG99</f>
        <v>-1.5492530472707771</v>
      </c>
      <c r="AI12" s="122"/>
      <c r="AJ12" s="122"/>
      <c r="AK12" s="134"/>
      <c r="AL12" s="134"/>
      <c r="AM12" s="134"/>
      <c r="AN12" s="134"/>
      <c r="AO12" s="134"/>
      <c r="AP12" s="134"/>
      <c r="AQ12" s="134"/>
      <c r="AR12" s="134"/>
    </row>
    <row r="13" spans="1:159" s="135" customFormat="1" ht="33" customHeight="1">
      <c r="A13" s="128">
        <v>9</v>
      </c>
      <c r="B13" s="122"/>
      <c r="C13" s="133" t="s">
        <v>1512</v>
      </c>
      <c r="D13" s="223">
        <v>3.5</v>
      </c>
      <c r="E13" s="223">
        <v>2.8</v>
      </c>
      <c r="F13" s="223">
        <v>2.9</v>
      </c>
      <c r="G13" s="223">
        <v>8.6</v>
      </c>
      <c r="H13" s="223">
        <v>5</v>
      </c>
      <c r="I13" s="223">
        <v>5.4</v>
      </c>
      <c r="J13" s="223">
        <v>5.4</v>
      </c>
      <c r="K13" s="223">
        <v>5.4</v>
      </c>
      <c r="L13" s="223">
        <v>3.1</v>
      </c>
      <c r="M13" s="223">
        <v>7.7</v>
      </c>
      <c r="N13" s="223">
        <v>4.3</v>
      </c>
      <c r="O13" s="223">
        <v>7.8</v>
      </c>
      <c r="P13" s="223">
        <v>4.4000000000000004</v>
      </c>
      <c r="Q13" s="223">
        <v>3.8</v>
      </c>
      <c r="R13" s="223">
        <v>4.4000000000000004</v>
      </c>
      <c r="S13" s="223">
        <v>5.2</v>
      </c>
      <c r="T13" s="223">
        <v>4.0999999999999996</v>
      </c>
      <c r="U13" s="223">
        <v>3.7</v>
      </c>
      <c r="V13" s="223">
        <v>6.7</v>
      </c>
      <c r="W13" s="223">
        <v>2.5</v>
      </c>
      <c r="X13" s="223">
        <v>4.5</v>
      </c>
      <c r="Y13" s="223">
        <v>5.4</v>
      </c>
      <c r="Z13" s="223">
        <v>3.8</v>
      </c>
      <c r="AA13" s="223">
        <v>2</v>
      </c>
      <c r="AB13" s="223">
        <v>4.3</v>
      </c>
      <c r="AC13" s="223">
        <v>2.5</v>
      </c>
      <c r="AD13" s="223">
        <v>4.5999999999999996</v>
      </c>
      <c r="AE13" s="223">
        <v>5.6</v>
      </c>
      <c r="AF13" s="223">
        <v>5.7</v>
      </c>
      <c r="AG13" s="223">
        <v>5.3</v>
      </c>
      <c r="AH13" s="223">
        <v>4.2</v>
      </c>
      <c r="AI13" s="122"/>
      <c r="AJ13" s="122"/>
      <c r="AK13" s="134"/>
      <c r="AL13" s="134"/>
      <c r="AM13" s="134"/>
      <c r="AN13" s="134"/>
      <c r="AO13" s="134"/>
      <c r="AP13" s="134"/>
      <c r="AQ13" s="134"/>
      <c r="AR13" s="134"/>
    </row>
    <row r="14" spans="1:159" customFormat="1" ht="17.25" customHeight="1"/>
    <row r="15" spans="1:159" customFormat="1" ht="17.25" customHeight="1"/>
    <row r="16" spans="1:159" customFormat="1" ht="17.25" customHeight="1"/>
    <row r="17" spans="1:44" customFormat="1" ht="17.25" customHeight="1"/>
    <row r="18" spans="1:44" customFormat="1" ht="17.25" customHeight="1"/>
    <row r="19" spans="1:44" customFormat="1" ht="17.25" customHeight="1"/>
    <row r="20" spans="1:44" customFormat="1" ht="17.25" customHeight="1"/>
    <row r="21" spans="1:44" customFormat="1" ht="17.25" customHeight="1"/>
    <row r="22" spans="1:44" customFormat="1" ht="17.25" customHeight="1"/>
    <row r="23" spans="1:44" customFormat="1" ht="17.25" customHeight="1"/>
    <row r="24" spans="1:44" customFormat="1" ht="24" customHeight="1"/>
    <row r="25" spans="1:44" customFormat="1" ht="17.25" customHeight="1"/>
    <row r="26" spans="1:44" s="135" customFormat="1" ht="17.25" customHeight="1">
      <c r="A26" s="128"/>
      <c r="B26" s="122"/>
      <c r="C26" s="122"/>
      <c r="D26" s="122"/>
      <c r="E26"/>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34"/>
      <c r="AL26" s="134"/>
      <c r="AM26" s="134"/>
      <c r="AN26" s="134"/>
      <c r="AO26" s="134"/>
      <c r="AP26" s="134"/>
      <c r="AQ26" s="134"/>
      <c r="AR26" s="134"/>
    </row>
    <row r="27" spans="1:44" s="135" customFormat="1" ht="17.25" customHeight="1">
      <c r="A27" s="128"/>
      <c r="B27" s="122"/>
      <c r="C27" s="122"/>
      <c r="D27" s="122"/>
      <c r="E27"/>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34"/>
      <c r="AL27" s="134"/>
      <c r="AM27" s="134"/>
      <c r="AN27" s="134"/>
      <c r="AO27" s="134"/>
      <c r="AP27" s="134"/>
      <c r="AQ27" s="134"/>
      <c r="AR27" s="134"/>
    </row>
    <row r="28" spans="1:44" s="135" customFormat="1" ht="17.25" customHeight="1">
      <c r="A28" s="128"/>
      <c r="B28" s="122"/>
      <c r="C28" s="122"/>
      <c r="D28" s="122"/>
      <c r="E28"/>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34"/>
      <c r="AL28" s="134"/>
      <c r="AM28" s="134"/>
      <c r="AN28" s="134"/>
      <c r="AO28" s="134"/>
      <c r="AP28" s="134"/>
      <c r="AQ28" s="134"/>
      <c r="AR28" s="134"/>
    </row>
    <row r="29" spans="1:44" s="135" customFormat="1" ht="17.25" customHeight="1">
      <c r="A29" s="128"/>
      <c r="B29" s="122"/>
      <c r="C29" s="122"/>
      <c r="D29" s="122"/>
      <c r="E29"/>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34"/>
      <c r="AL29" s="134"/>
      <c r="AM29" s="134"/>
      <c r="AN29" s="134"/>
      <c r="AO29" s="134"/>
      <c r="AP29" s="134"/>
      <c r="AQ29" s="134"/>
      <c r="AR29" s="134"/>
    </row>
    <row r="30" spans="1:44" s="135" customFormat="1" ht="17.25" customHeight="1">
      <c r="A30" s="128"/>
      <c r="B30" s="122"/>
      <c r="C30" s="122"/>
      <c r="D30" s="122"/>
      <c r="E30"/>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34"/>
      <c r="AL30" s="134"/>
      <c r="AM30" s="134"/>
      <c r="AN30" s="134"/>
      <c r="AO30" s="134"/>
      <c r="AP30" s="134"/>
      <c r="AQ30" s="134"/>
      <c r="AR30" s="134"/>
    </row>
    <row r="31" spans="1:44" s="135" customFormat="1" ht="17.25" customHeight="1">
      <c r="A31" s="128"/>
      <c r="B31" s="122"/>
      <c r="C31" s="122"/>
      <c r="D31" s="122"/>
      <c r="E31"/>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34"/>
      <c r="AL31" s="134"/>
      <c r="AM31" s="134"/>
      <c r="AN31" s="134"/>
      <c r="AO31" s="134"/>
      <c r="AP31" s="134"/>
      <c r="AQ31" s="134"/>
      <c r="AR31" s="134"/>
    </row>
    <row r="32" spans="1:44" s="135" customFormat="1" ht="17.25" customHeight="1">
      <c r="A32" s="128"/>
      <c r="B32" s="122"/>
      <c r="C32" s="122"/>
      <c r="D32" s="122"/>
      <c r="E3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34"/>
      <c r="AL32" s="134"/>
      <c r="AM32" s="134"/>
      <c r="AN32" s="134"/>
      <c r="AO32" s="134"/>
      <c r="AP32" s="134"/>
      <c r="AQ32" s="134"/>
      <c r="AR32" s="134"/>
    </row>
    <row r="33" spans="1:74" s="137" customFormat="1" ht="17.25" customHeight="1">
      <c r="A33" s="128"/>
      <c r="B33" s="122"/>
      <c r="C33" s="122"/>
      <c r="D33" s="122"/>
      <c r="E33"/>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36"/>
      <c r="AL33" s="136"/>
      <c r="AM33" s="136"/>
      <c r="AN33" s="136"/>
      <c r="AO33" s="136"/>
      <c r="AP33" s="136"/>
      <c r="AQ33" s="136"/>
      <c r="AR33" s="136"/>
    </row>
    <row r="34" spans="1:74" ht="17.25" customHeight="1">
      <c r="A34" s="128"/>
      <c r="B34" s="122"/>
      <c r="C34" s="122"/>
      <c r="D34" s="122"/>
      <c r="E34"/>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row>
    <row r="35" spans="1:74" ht="17.25" customHeight="1">
      <c r="A35" s="128"/>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row>
    <row r="36" spans="1:74" s="138" customFormat="1" ht="17.25" customHeight="1">
      <c r="A36" s="128"/>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row>
    <row r="37" spans="1:74" s="138" customFormat="1" ht="17.25" customHeight="1">
      <c r="A37" s="128"/>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row>
    <row r="38" spans="1:74" ht="17.25" customHeight="1">
      <c r="A38" s="128"/>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row>
    <row r="39" spans="1:74" ht="17.25" customHeight="1">
      <c r="A39" s="128"/>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row>
    <row r="40" spans="1:74" ht="17.25" customHeight="1">
      <c r="A40" s="128"/>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row>
    <row r="41" spans="1:74" ht="17.25" customHeight="1">
      <c r="A41" s="128"/>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row>
    <row r="42" spans="1:74" ht="17.25" customHeight="1">
      <c r="A42" s="128"/>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row>
    <row r="43" spans="1:74" ht="17.25" customHeight="1">
      <c r="A43" s="128"/>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row>
    <row r="44" spans="1:74" ht="17.25" customHeight="1">
      <c r="A44" s="128"/>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row>
    <row r="45" spans="1:74" ht="17.25" customHeight="1">
      <c r="A45" s="128"/>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row>
    <row r="46" spans="1:74" ht="17.25" customHeight="1">
      <c r="A46" s="128"/>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row>
    <row r="47" spans="1:74" ht="17.25" customHeight="1">
      <c r="A47" s="128"/>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row>
    <row r="48" spans="1:74" ht="17.25" customHeight="1">
      <c r="A48" s="128"/>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row>
    <row r="49" spans="1:34" ht="17.25" customHeight="1">
      <c r="A49" s="128"/>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row>
    <row r="50" spans="1:34" ht="17.25" customHeight="1">
      <c r="A50" s="128"/>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row>
    <row r="51" spans="1:34" ht="17.25" customHeight="1">
      <c r="A51" s="128"/>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row>
    <row r="52" spans="1:34" ht="17.25" customHeight="1">
      <c r="A52" s="128"/>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row>
    <row r="53" spans="1:34" ht="17.25" customHeight="1">
      <c r="A53" s="128"/>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row>
    <row r="54" spans="1:34" ht="17.25" customHeight="1">
      <c r="A54" s="128"/>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row>
    <row r="55" spans="1:34" ht="17.25" customHeight="1">
      <c r="A55" s="128"/>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row>
    <row r="56" spans="1:34" ht="17.25" customHeight="1">
      <c r="A56" s="128"/>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row>
    <row r="57" spans="1:34" ht="17.25" customHeight="1">
      <c r="A57" s="128"/>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row>
    <row r="58" spans="1:34" ht="17.25" customHeight="1">
      <c r="A58" s="128"/>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row>
    <row r="59" spans="1:34" ht="17.25" customHeight="1">
      <c r="A59" s="128"/>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row>
    <row r="60" spans="1:34" ht="17.25" customHeight="1">
      <c r="A60" s="128"/>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row>
    <row r="61" spans="1:34" ht="17.25" customHeight="1">
      <c r="A61" s="128"/>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row>
    <row r="62" spans="1:34" ht="17.25" customHeight="1">
      <c r="A62" s="128"/>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row>
    <row r="63" spans="1:34" ht="17.25" customHeight="1">
      <c r="A63" s="128"/>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4" ht="17.25" customHeight="1">
      <c r="A64" s="128"/>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4" ht="17.25" customHeight="1">
      <c r="A65" s="128"/>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4" ht="17.25" customHeight="1">
      <c r="A66" s="128"/>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4" ht="17.25" customHeight="1">
      <c r="A67" s="128"/>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4" ht="17.25" customHeight="1">
      <c r="A68" s="128"/>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row>
    <row r="69" spans="1:34" ht="17.25" customHeight="1">
      <c r="A69" s="128"/>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row>
    <row r="70" spans="1:34" ht="17.25" customHeight="1">
      <c r="A70" s="128"/>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row>
    <row r="71" spans="1:34" ht="17.25" customHeight="1">
      <c r="A71" s="128"/>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row>
    <row r="72" spans="1:34" ht="17.25" customHeight="1">
      <c r="A72" s="128"/>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4" ht="17.25" customHeight="1">
      <c r="A73" s="128"/>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4" ht="17.25" customHeight="1">
      <c r="A74" s="128"/>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4" ht="17.25" customHeight="1">
      <c r="A75" s="128"/>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4" ht="17.25" customHeight="1">
      <c r="A76" s="128"/>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4" ht="17.25" customHeight="1">
      <c r="A77" s="128"/>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4" ht="17.25" customHeight="1">
      <c r="A78" s="128"/>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row>
    <row r="79" spans="1:34" ht="17.25" customHeight="1">
      <c r="A79" s="128"/>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row>
    <row r="80" spans="1:34" ht="17.25" customHeight="1">
      <c r="A80" s="128"/>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row>
    <row r="81" spans="1:34" ht="17.25" customHeight="1">
      <c r="A81" s="128"/>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row>
    <row r="82" spans="1:34" ht="17.25" customHeight="1">
      <c r="A82" s="128"/>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row>
    <row r="83" spans="1:34" ht="17.25" customHeight="1">
      <c r="A83" s="128"/>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4" ht="17.25" customHeight="1">
      <c r="A84" s="128"/>
      <c r="B84" s="122"/>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row>
    <row r="85" spans="1:34" ht="17.25" customHeight="1">
      <c r="A85" s="128"/>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row>
    <row r="86" spans="1:34" ht="17.25" customHeight="1">
      <c r="A86" s="128"/>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row>
    <row r="87" spans="1:34" ht="17.25" customHeight="1">
      <c r="A87" s="128"/>
      <c r="B87" s="122"/>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row>
    <row r="88" spans="1:34" ht="17.25" customHeight="1">
      <c r="A88" s="128"/>
      <c r="B88" s="122"/>
      <c r="C88" s="122"/>
      <c r="D88" s="122"/>
      <c r="E88" s="12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row>
    <row r="89" spans="1:34" ht="17.25" customHeight="1">
      <c r="A89" s="128"/>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row>
    <row r="90" spans="1:34" ht="17.25" customHeight="1">
      <c r="A90" s="128"/>
      <c r="B90" s="122"/>
      <c r="C90" s="122"/>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row>
    <row r="91" spans="1:34" ht="17.25" customHeight="1">
      <c r="A91" s="128"/>
      <c r="B91" s="122"/>
      <c r="C91" s="122"/>
      <c r="D91" s="122"/>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row>
    <row r="92" spans="1:34" ht="17.25" customHeight="1">
      <c r="A92" s="128"/>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row>
    <row r="93" spans="1:34" ht="17.25" customHeight="1">
      <c r="A93" s="128"/>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row>
    <row r="94" spans="1:34" ht="17.25" customHeight="1">
      <c r="A94" s="128"/>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row>
    <row r="95" spans="1:34" ht="17.25" customHeight="1">
      <c r="A95" s="128"/>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row>
    <row r="96" spans="1:34" ht="17.25" customHeight="1">
      <c r="A96" s="128"/>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row>
    <row r="97" spans="1:35" ht="17.25" customHeight="1">
      <c r="A97" s="128"/>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row>
    <row r="98" spans="1:35" ht="17.25" customHeight="1">
      <c r="A98" s="128"/>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v>6.9</v>
      </c>
    </row>
    <row r="99" spans="1:35" ht="17.25" customHeight="1">
      <c r="A99" s="128"/>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row>
    <row r="100" spans="1:35" ht="17.25" customHeight="1">
      <c r="A100" s="128"/>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row>
    <row r="101" spans="1:35" ht="17.25" customHeight="1">
      <c r="A101" s="128"/>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row>
    <row r="102" spans="1:35" ht="17.25" customHeight="1">
      <c r="A102" s="128"/>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row>
    <row r="103" spans="1:35" ht="17.25" customHeight="1">
      <c r="A103" s="128"/>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row>
    <row r="104" spans="1:35" ht="17.25" customHeight="1">
      <c r="A104" s="128"/>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row>
    <row r="105" spans="1:35" ht="17.25" customHeight="1">
      <c r="A105" s="128"/>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row>
    <row r="106" spans="1:35" ht="17.25" customHeight="1">
      <c r="A106" s="128"/>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row>
    <row r="107" spans="1:35" ht="17.25" customHeight="1">
      <c r="A107" s="128"/>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row>
    <row r="108" spans="1:35" ht="17.25" customHeight="1">
      <c r="A108" s="128"/>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row>
    <row r="109" spans="1:35" ht="17.25" customHeight="1">
      <c r="A109" s="128"/>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row>
    <row r="110" spans="1:35" ht="17.25" customHeight="1">
      <c r="A110" s="128"/>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v>41.93431460343453</v>
      </c>
    </row>
    <row r="111" spans="1:35" ht="17.25" customHeight="1">
      <c r="A111" s="128"/>
      <c r="B111" s="122"/>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row>
    <row r="112" spans="1:35" ht="17.25" customHeight="1">
      <c r="A112" s="128"/>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row>
    <row r="113" spans="1:34" ht="17.25" customHeight="1">
      <c r="A113" s="128"/>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row>
    <row r="114" spans="1:34" ht="17.25" customHeight="1">
      <c r="A114" s="128"/>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row>
    <row r="115" spans="1:34" ht="17.25" customHeight="1">
      <c r="A115" s="128"/>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row>
    <row r="116" spans="1:34" ht="17.25" customHeight="1">
      <c r="A116" s="128"/>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row>
    <row r="117" spans="1:34" ht="17.25" customHeight="1">
      <c r="A117" s="128"/>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row>
    <row r="118" spans="1:34" ht="17.25" customHeight="1">
      <c r="A118" s="128"/>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row>
    <row r="119" spans="1:34" ht="17.25" customHeight="1">
      <c r="A119" s="128"/>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row>
    <row r="120" spans="1:34" ht="17.25" customHeight="1">
      <c r="A120" s="128"/>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row>
    <row r="121" spans="1:34" ht="17.25" customHeight="1">
      <c r="A121" s="128"/>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row>
    <row r="122" spans="1:34" ht="17.25" customHeight="1">
      <c r="A122" s="128"/>
      <c r="B122" s="122"/>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row>
    <row r="123" spans="1:34" ht="17.25" customHeight="1">
      <c r="A123" s="128"/>
      <c r="B123" s="122"/>
      <c r="C123" s="122"/>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row>
    <row r="124" spans="1:34" ht="17.25" customHeight="1">
      <c r="A124" s="128"/>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row>
    <row r="125" spans="1:34" ht="17.25" customHeight="1">
      <c r="A125" s="128"/>
      <c r="B125" s="122"/>
      <c r="C125" s="122"/>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row>
    <row r="126" spans="1:34" ht="17.25" customHeight="1">
      <c r="A126" s="128"/>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row>
    <row r="127" spans="1:34" ht="17.25" customHeight="1">
      <c r="A127" s="128"/>
      <c r="B127" s="122"/>
      <c r="C127" s="122"/>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row>
    <row r="128" spans="1:34" ht="17.25" customHeight="1">
      <c r="A128" s="128"/>
      <c r="B128" s="122"/>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row>
    <row r="129" spans="1:34" ht="17.25" customHeight="1">
      <c r="A129" s="128"/>
      <c r="B129" s="122"/>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row>
    <row r="130" spans="1:34" ht="17.25" customHeight="1">
      <c r="A130" s="128"/>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row>
    <row r="131" spans="1:34" ht="17.25" customHeight="1">
      <c r="A131" s="128"/>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row>
    <row r="132" spans="1:34" ht="17.25" customHeight="1">
      <c r="A132" s="128"/>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row>
    <row r="133" spans="1:34" ht="17.25" customHeight="1">
      <c r="A133" s="128"/>
      <c r="B133" s="122"/>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row>
    <row r="134" spans="1:34" ht="17.25" customHeight="1">
      <c r="A134" s="128"/>
      <c r="B134" s="122"/>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row>
    <row r="135" spans="1:34" ht="17.25" customHeight="1">
      <c r="A135" s="128"/>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row>
    <row r="136" spans="1:34" ht="17.25" customHeight="1">
      <c r="A136" s="128"/>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row>
    <row r="137" spans="1:34" ht="17.25" customHeight="1">
      <c r="A137" s="128"/>
      <c r="B137" s="122"/>
      <c r="C137" s="122"/>
      <c r="D137" s="12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22"/>
      <c r="AG137" s="122"/>
      <c r="AH137" s="122"/>
    </row>
    <row r="138" spans="1:34" ht="17.25" customHeight="1">
      <c r="A138" s="128"/>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row>
    <row r="139" spans="1:34" ht="17.25" customHeight="1">
      <c r="A139" s="128"/>
      <c r="B139" s="122"/>
      <c r="C139" s="122"/>
      <c r="D139" s="12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row>
    <row r="140" spans="1:34" ht="17.25" customHeight="1">
      <c r="A140" s="128"/>
      <c r="B140" s="122"/>
      <c r="C140" s="122"/>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row>
    <row r="141" spans="1:34" ht="17.25" customHeight="1">
      <c r="A141" s="128"/>
      <c r="B141" s="122"/>
      <c r="C141" s="122"/>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c r="AF141" s="122"/>
      <c r="AG141" s="122"/>
      <c r="AH141" s="122"/>
    </row>
    <row r="142" spans="1:34" ht="17.25" customHeight="1">
      <c r="A142" s="128"/>
      <c r="B142" s="122"/>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122"/>
      <c r="AE142" s="122"/>
      <c r="AF142" s="122"/>
      <c r="AG142" s="122"/>
      <c r="AH142" s="122"/>
    </row>
    <row r="143" spans="1:34" ht="17.25" customHeight="1">
      <c r="A143" s="128"/>
      <c r="B143" s="122"/>
      <c r="C143" s="122"/>
      <c r="D143" s="122"/>
      <c r="E143" s="122"/>
      <c r="F143" s="122"/>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c r="AF143" s="122"/>
      <c r="AG143" s="122"/>
      <c r="AH143" s="122"/>
    </row>
    <row r="144" spans="1:34" ht="17.25" customHeight="1">
      <c r="A144" s="128"/>
      <c r="B144" s="122"/>
      <c r="C144" s="122"/>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E144" s="122"/>
      <c r="AF144" s="122"/>
      <c r="AG144" s="122"/>
      <c r="AH144" s="122"/>
    </row>
    <row r="145" spans="1:34" ht="17.25" customHeight="1">
      <c r="A145" s="128"/>
      <c r="B145" s="122"/>
      <c r="C145" s="122"/>
      <c r="D145" s="122"/>
      <c r="E145" s="122"/>
      <c r="F145" s="122"/>
      <c r="G145" s="122"/>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122"/>
      <c r="AE145" s="122"/>
      <c r="AF145" s="122"/>
      <c r="AG145" s="122"/>
      <c r="AH145" s="122"/>
    </row>
    <row r="146" spans="1:34" ht="17.25" customHeight="1">
      <c r="A146" s="128"/>
      <c r="B146" s="122"/>
      <c r="C146" s="122"/>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row>
    <row r="147" spans="1:34" ht="17.25" customHeight="1">
      <c r="A147" s="128"/>
      <c r="B147" s="122"/>
      <c r="C147" s="122"/>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c r="AF147" s="122"/>
      <c r="AG147" s="122"/>
      <c r="AH147" s="122"/>
    </row>
    <row r="148" spans="1:34" ht="17.25" customHeight="1">
      <c r="A148" s="128"/>
      <c r="B148" s="122"/>
      <c r="C148" s="122"/>
      <c r="D148" s="122"/>
      <c r="E148" s="122"/>
      <c r="F148" s="122"/>
      <c r="G148" s="122"/>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122"/>
      <c r="AD148" s="122"/>
      <c r="AE148" s="122"/>
      <c r="AF148" s="122"/>
      <c r="AG148" s="122"/>
      <c r="AH148" s="122"/>
    </row>
    <row r="149" spans="1:34" ht="17.25" customHeight="1">
      <c r="A149" s="128"/>
      <c r="B149" s="122"/>
      <c r="C149" s="122"/>
      <c r="D149" s="122"/>
      <c r="E149" s="122"/>
      <c r="F149" s="122"/>
      <c r="G149" s="122"/>
      <c r="H149" s="122"/>
      <c r="I149" s="122"/>
      <c r="J149" s="122"/>
      <c r="K149" s="122"/>
      <c r="L149" s="122"/>
      <c r="M149" s="122"/>
      <c r="N149" s="122"/>
      <c r="O149" s="122"/>
      <c r="P149" s="122"/>
      <c r="Q149" s="122"/>
      <c r="R149" s="122"/>
      <c r="S149" s="122"/>
      <c r="T149" s="122"/>
      <c r="U149" s="122"/>
      <c r="V149" s="122"/>
      <c r="W149" s="122"/>
      <c r="X149" s="122"/>
      <c r="Y149" s="122"/>
      <c r="Z149" s="122"/>
      <c r="AA149" s="122"/>
      <c r="AB149" s="122"/>
      <c r="AC149" s="122"/>
      <c r="AD149" s="122"/>
      <c r="AE149" s="122"/>
      <c r="AF149" s="122"/>
      <c r="AG149" s="122"/>
      <c r="AH149" s="122"/>
    </row>
    <row r="150" spans="1:34" ht="17.25" customHeight="1">
      <c r="A150" s="128"/>
      <c r="B150" s="122"/>
      <c r="C150" s="122"/>
      <c r="D150" s="122"/>
      <c r="E150" s="122"/>
      <c r="F150" s="122"/>
      <c r="G150" s="122"/>
      <c r="H150" s="122"/>
      <c r="I150" s="122"/>
      <c r="J150" s="122"/>
      <c r="K150" s="122"/>
      <c r="L150" s="122"/>
      <c r="M150" s="122"/>
      <c r="N150" s="122"/>
      <c r="O150" s="122"/>
      <c r="P150" s="122"/>
      <c r="Q150" s="122"/>
      <c r="R150" s="122"/>
      <c r="S150" s="122"/>
      <c r="T150" s="122"/>
      <c r="U150" s="122"/>
      <c r="V150" s="122"/>
      <c r="W150" s="122"/>
      <c r="X150" s="122"/>
      <c r="Y150" s="122"/>
      <c r="Z150" s="122"/>
      <c r="AA150" s="122"/>
      <c r="AB150" s="122"/>
      <c r="AC150" s="122"/>
      <c r="AD150" s="122"/>
      <c r="AE150" s="122"/>
      <c r="AF150" s="122"/>
      <c r="AG150" s="122"/>
      <c r="AH150" s="122"/>
    </row>
    <row r="151" spans="1:34" ht="17.25" customHeight="1">
      <c r="A151" s="128"/>
      <c r="B151" s="122"/>
      <c r="C151" s="122"/>
      <c r="D151" s="122"/>
      <c r="E151" s="122"/>
      <c r="F151" s="122"/>
      <c r="G151" s="122"/>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c r="AF151" s="122"/>
      <c r="AG151" s="122"/>
      <c r="AH151" s="122"/>
    </row>
    <row r="152" spans="1:34" ht="17.25" customHeight="1">
      <c r="A152" s="128"/>
      <c r="B152" s="122"/>
      <c r="C152" s="122"/>
    </row>
    <row r="153" spans="1:34" ht="17.25" customHeight="1">
      <c r="A153" s="128"/>
      <c r="B153" s="122"/>
      <c r="C153" s="122"/>
    </row>
    <row r="154" spans="1:34" ht="17.25" customHeight="1">
      <c r="A154" s="128"/>
      <c r="B154" s="122"/>
      <c r="C154" s="122"/>
    </row>
    <row r="155" spans="1:34" ht="17.25" customHeight="1">
      <c r="A155" s="128"/>
      <c r="B155" s="122"/>
      <c r="C155" s="122"/>
    </row>
    <row r="156" spans="1:34" ht="17.25" customHeight="1">
      <c r="A156" s="128"/>
      <c r="B156" s="122"/>
      <c r="C156" s="122"/>
    </row>
    <row r="157" spans="1:34" ht="17.25" customHeight="1">
      <c r="A157" s="128"/>
      <c r="B157" s="122"/>
      <c r="C157" s="122"/>
    </row>
    <row r="158" spans="1:34" ht="17.25" customHeight="1">
      <c r="A158" s="128"/>
      <c r="B158" s="122"/>
      <c r="C158" s="122"/>
    </row>
    <row r="159" spans="1:34" ht="17.25" customHeight="1">
      <c r="A159" s="128"/>
      <c r="B159" s="122"/>
      <c r="C159" s="122"/>
    </row>
    <row r="160" spans="1:34" ht="17.25" customHeight="1">
      <c r="A160" s="128"/>
      <c r="B160" s="122"/>
      <c r="C160" s="122"/>
    </row>
    <row r="161" spans="1:3" ht="17.25" customHeight="1">
      <c r="A161" s="128"/>
      <c r="B161" s="122"/>
      <c r="C161" s="122"/>
    </row>
    <row r="162" spans="1:3" ht="17.25" customHeight="1">
      <c r="A162" s="128"/>
      <c r="B162" s="122"/>
      <c r="C162" s="122"/>
    </row>
    <row r="163" spans="1:3" ht="17.25" customHeight="1">
      <c r="A163" s="128"/>
    </row>
    <row r="164" spans="1:3" ht="17.25" customHeight="1">
      <c r="A164" s="128"/>
    </row>
    <row r="165" spans="1:3" ht="17.25" customHeight="1">
      <c r="A165" s="128"/>
    </row>
    <row r="166" spans="1:3" ht="17.25" customHeight="1">
      <c r="A166" s="128"/>
    </row>
    <row r="167" spans="1:3" ht="17.25" customHeight="1">
      <c r="A167" s="128"/>
    </row>
    <row r="168" spans="1:3" ht="17.25" customHeight="1">
      <c r="A168" s="128"/>
    </row>
    <row r="169" spans="1:3" ht="17.25" customHeight="1">
      <c r="A169" s="128"/>
    </row>
    <row r="170" spans="1:3" ht="17.25" customHeight="1">
      <c r="A170" s="128"/>
    </row>
    <row r="171" spans="1:3" ht="17.25" customHeight="1">
      <c r="A171" s="128"/>
    </row>
    <row r="172" spans="1:3" ht="17.25" customHeight="1">
      <c r="A172" s="128"/>
    </row>
    <row r="173" spans="1:3" ht="17.25" customHeight="1">
      <c r="A173" s="128"/>
    </row>
    <row r="174" spans="1:3" ht="17.25" customHeight="1">
      <c r="A174" s="128"/>
    </row>
    <row r="175" spans="1:3" ht="17.25" customHeight="1">
      <c r="A175" s="128"/>
    </row>
    <row r="176" spans="1:3" ht="17.25" customHeight="1">
      <c r="A176" s="128"/>
    </row>
    <row r="177" spans="1:1" ht="17.25" customHeight="1">
      <c r="A177" s="128"/>
    </row>
    <row r="178" spans="1:1" ht="17.25" customHeight="1">
      <c r="A178" s="128"/>
    </row>
    <row r="179" spans="1:1" ht="17.25" customHeight="1">
      <c r="A179" s="128"/>
    </row>
    <row r="180" spans="1:1" ht="17.25" customHeight="1">
      <c r="A180" s="128"/>
    </row>
    <row r="181" spans="1:1" ht="17.25" customHeight="1">
      <c r="A181" s="128"/>
    </row>
    <row r="182" spans="1:1" ht="17.25" customHeight="1">
      <c r="A182" s="128"/>
    </row>
    <row r="183" spans="1:1" ht="17.25" customHeight="1">
      <c r="A183" s="128"/>
    </row>
    <row r="184" spans="1:1" ht="17.25" customHeight="1">
      <c r="A184" s="128"/>
    </row>
    <row r="185" spans="1:1" ht="17.25" customHeight="1">
      <c r="A185" s="128"/>
    </row>
    <row r="186" spans="1:1" ht="17.25" customHeight="1">
      <c r="A186" s="128"/>
    </row>
    <row r="187" spans="1:1" ht="17.25" customHeight="1">
      <c r="A187" s="128"/>
    </row>
    <row r="188" spans="1:1" ht="17.25" customHeight="1">
      <c r="A188" s="128"/>
    </row>
    <row r="189" spans="1:1" ht="17.25" customHeight="1">
      <c r="A189" s="128"/>
    </row>
    <row r="190" spans="1:1" ht="17.25" customHeight="1">
      <c r="A190" s="128"/>
    </row>
    <row r="191" spans="1:1" ht="17.25" customHeight="1">
      <c r="A191" s="128"/>
    </row>
    <row r="192" spans="1:1" ht="17.25" customHeight="1">
      <c r="A192" s="128"/>
    </row>
    <row r="193" spans="1:1" ht="17.25" customHeight="1">
      <c r="A193" s="128"/>
    </row>
    <row r="194" spans="1:1" ht="17.25" customHeight="1">
      <c r="A194" s="128"/>
    </row>
    <row r="195" spans="1:1" ht="17.25" customHeight="1">
      <c r="A195" s="128"/>
    </row>
    <row r="196" spans="1:1" ht="17.25" customHeight="1">
      <c r="A196" s="128"/>
    </row>
    <row r="197" spans="1:1" ht="17.25" customHeight="1">
      <c r="A197" s="128"/>
    </row>
    <row r="198" spans="1:1" ht="17.25" customHeight="1">
      <c r="A198" s="128"/>
    </row>
    <row r="199" spans="1:1" ht="17.25" customHeight="1">
      <c r="A199" s="128"/>
    </row>
    <row r="200" spans="1:1" ht="17.25" customHeight="1">
      <c r="A200" s="128"/>
    </row>
    <row r="201" spans="1:1" ht="17.25" customHeight="1">
      <c r="A201" s="128"/>
    </row>
    <row r="202" spans="1:1" ht="17.25" customHeight="1">
      <c r="A202" s="128"/>
    </row>
    <row r="203" spans="1:1" ht="17.25" customHeight="1">
      <c r="A203" s="128"/>
    </row>
    <row r="204" spans="1:1" ht="17.25" customHeight="1">
      <c r="A204" s="128"/>
    </row>
    <row r="205" spans="1:1" ht="17.25" customHeight="1">
      <c r="A205" s="128"/>
    </row>
    <row r="206" spans="1:1" ht="17.25" customHeight="1">
      <c r="A206" s="128"/>
    </row>
    <row r="207" spans="1:1" ht="17.25" customHeight="1">
      <c r="A207" s="128"/>
    </row>
    <row r="208" spans="1:1" ht="17.25" customHeight="1">
      <c r="A208" s="128"/>
    </row>
    <row r="209" spans="1:1" ht="17.25" customHeight="1">
      <c r="A209" s="128"/>
    </row>
    <row r="210" spans="1:1" ht="17.25" customHeight="1">
      <c r="A210" s="128"/>
    </row>
    <row r="211" spans="1:1" ht="17.25" customHeight="1">
      <c r="A211" s="128"/>
    </row>
    <row r="212" spans="1:1" ht="17.25" customHeight="1">
      <c r="A212" s="128"/>
    </row>
    <row r="213" spans="1:1" ht="17.25" customHeight="1">
      <c r="A213" s="128"/>
    </row>
    <row r="214" spans="1:1" ht="17.25" customHeight="1"/>
    <row r="215" spans="1:1" ht="17.25" customHeight="1"/>
    <row r="216" spans="1:1" ht="17.25" customHeight="1"/>
    <row r="217" spans="1:1" ht="17.25" customHeight="1"/>
    <row r="218" spans="1:1" ht="17.25" customHeight="1"/>
    <row r="219" spans="1:1" ht="17.25" customHeight="1"/>
    <row r="220" spans="1:1" ht="17.25" customHeight="1"/>
    <row r="221" spans="1:1" ht="17.25" customHeight="1"/>
    <row r="222" spans="1:1" ht="17.25" customHeight="1"/>
    <row r="223" spans="1:1" ht="17.25" customHeight="1"/>
    <row r="224" spans="1:1"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7.25" customHeight="1"/>
    <row r="244" ht="17.25" customHeight="1"/>
    <row r="245" ht="17.25" customHeight="1"/>
    <row r="246" ht="17.25" customHeight="1"/>
    <row r="247" ht="17.25" customHeight="1"/>
    <row r="248" ht="17.25" customHeight="1"/>
    <row r="249" ht="17.25" customHeight="1"/>
    <row r="250" ht="17.25" customHeight="1"/>
    <row r="251" ht="17.25" customHeight="1"/>
    <row r="252" ht="17.25" customHeight="1"/>
    <row r="253" ht="17.25" customHeight="1"/>
    <row r="254" ht="17.25" customHeight="1"/>
    <row r="255" ht="17.25" customHeight="1"/>
    <row r="256" ht="17.25" customHeight="1"/>
    <row r="257" ht="17.25" customHeight="1"/>
    <row r="258" ht="17.25" customHeight="1"/>
    <row r="259" ht="17.25" customHeight="1"/>
    <row r="260" ht="17.25" customHeight="1"/>
    <row r="261" ht="17.25" customHeight="1"/>
    <row r="262" ht="17.25" customHeight="1"/>
    <row r="263" ht="17.25" customHeight="1"/>
    <row r="264" ht="17.25" customHeight="1"/>
    <row r="265" ht="17.25" customHeight="1"/>
    <row r="266" ht="17.25" customHeight="1"/>
    <row r="267" ht="17.25" customHeight="1"/>
    <row r="268" ht="17.25" customHeight="1"/>
    <row r="269" ht="17.25" customHeight="1"/>
    <row r="270" ht="17.25" customHeight="1"/>
    <row r="271" ht="17.25" customHeight="1"/>
    <row r="272" ht="17.25" customHeight="1"/>
    <row r="273" ht="17.25" customHeight="1"/>
    <row r="274" ht="17.25" customHeight="1"/>
    <row r="275" ht="17.25" customHeight="1"/>
    <row r="276" ht="17.25" customHeight="1"/>
    <row r="277" ht="17.25" customHeight="1"/>
    <row r="278" ht="17.25" customHeight="1"/>
    <row r="279" ht="17.25" customHeight="1"/>
    <row r="280" ht="17.25" customHeight="1"/>
    <row r="281" ht="17.25" customHeight="1"/>
    <row r="282" ht="17.25" customHeight="1"/>
    <row r="283" ht="17.25" customHeight="1"/>
    <row r="284" ht="17.25" customHeight="1"/>
    <row r="285" ht="17.25" customHeight="1"/>
    <row r="286" ht="17.25" customHeight="1"/>
    <row r="287" ht="17.25" customHeight="1"/>
    <row r="288" ht="17.25" customHeight="1"/>
    <row r="289" ht="17.25" customHeight="1"/>
    <row r="290" ht="17.25" customHeight="1"/>
    <row r="291" ht="17.25" customHeight="1"/>
    <row r="292" ht="17.25" customHeight="1"/>
    <row r="293" ht="17.25" customHeight="1"/>
    <row r="294" ht="17.25" customHeight="1"/>
    <row r="295" ht="17.25" customHeight="1"/>
    <row r="296" ht="17.25" customHeight="1"/>
    <row r="297" ht="17.25" customHeight="1"/>
    <row r="298" ht="17.25" customHeight="1"/>
    <row r="299" ht="17.25" customHeight="1"/>
    <row r="300" ht="17.25" customHeight="1"/>
    <row r="301" ht="17.25" customHeight="1"/>
    <row r="302" ht="17.25" customHeight="1"/>
    <row r="303" ht="17.25" customHeight="1"/>
    <row r="304" ht="17.25" customHeight="1"/>
    <row r="305" ht="17.25" customHeight="1"/>
    <row r="306" ht="17.25" customHeight="1"/>
    <row r="307" ht="17.25" customHeight="1"/>
    <row r="308" ht="17.25" customHeight="1"/>
    <row r="309" ht="17.25" customHeight="1"/>
    <row r="310" ht="17.25" customHeight="1"/>
    <row r="311" ht="17.25" customHeight="1"/>
    <row r="312" ht="17.25" customHeight="1"/>
    <row r="313" ht="17.25" customHeight="1"/>
    <row r="314" ht="17.25" customHeight="1"/>
    <row r="315" ht="17.25" customHeight="1"/>
    <row r="316" ht="17.25" customHeight="1"/>
    <row r="317" ht="17.25" customHeight="1"/>
    <row r="318" ht="17.25" customHeight="1"/>
    <row r="319" ht="17.25" customHeight="1"/>
    <row r="320" ht="17.25" customHeight="1"/>
    <row r="321" ht="17.25" customHeight="1"/>
    <row r="322" ht="17.25" customHeight="1"/>
    <row r="323" ht="17.25" customHeight="1"/>
    <row r="324" ht="17.25" customHeight="1"/>
    <row r="325" ht="17.25" customHeight="1"/>
    <row r="326" ht="17.25" customHeight="1"/>
    <row r="327" ht="17.25" customHeight="1"/>
    <row r="328" ht="17.25" customHeight="1"/>
    <row r="329" ht="17.25" customHeight="1"/>
    <row r="330" ht="17.25" customHeight="1"/>
    <row r="331" ht="17.25" customHeight="1"/>
    <row r="332" ht="17.25" customHeight="1"/>
    <row r="333" ht="17.25" customHeight="1"/>
    <row r="334" ht="17.25" customHeight="1"/>
    <row r="335" ht="17.25" customHeight="1"/>
    <row r="336" ht="17.25" customHeight="1"/>
    <row r="337" ht="17.25" customHeight="1"/>
    <row r="338" ht="17.25" customHeight="1"/>
    <row r="339" ht="17.25" customHeight="1"/>
    <row r="340" ht="17.25" customHeight="1"/>
    <row r="341" ht="17.25" customHeight="1"/>
    <row r="342" ht="17.25" customHeight="1"/>
    <row r="343" ht="17.25" customHeight="1"/>
    <row r="344" ht="17.25" customHeight="1"/>
    <row r="345" ht="17.25" customHeight="1"/>
    <row r="346" ht="17.25" customHeight="1"/>
    <row r="347" ht="17.25" customHeight="1"/>
    <row r="348" ht="17.25" customHeight="1"/>
    <row r="349" ht="17.25" customHeight="1"/>
    <row r="350" ht="17.25" customHeight="1"/>
    <row r="351" ht="17.25" customHeight="1"/>
    <row r="352" ht="17.25" customHeight="1"/>
    <row r="353" ht="17.25" customHeight="1"/>
    <row r="354" ht="17.25" customHeight="1"/>
    <row r="355" ht="17.25" customHeight="1"/>
    <row r="356" ht="17.25" customHeight="1"/>
    <row r="357" ht="17.25" customHeight="1"/>
    <row r="358" ht="17.25" customHeight="1"/>
    <row r="359" ht="17.25" customHeight="1"/>
    <row r="360" ht="17.25" customHeight="1"/>
    <row r="361" ht="17.25" customHeight="1"/>
    <row r="362" ht="17.25" customHeight="1"/>
    <row r="363" ht="17.25" customHeight="1"/>
    <row r="364" ht="17.25" customHeight="1"/>
    <row r="365" ht="17.25" customHeight="1"/>
    <row r="366" ht="17.25" customHeight="1"/>
    <row r="367" ht="17.25" customHeight="1"/>
    <row r="368" ht="17.25" customHeight="1"/>
    <row r="369" ht="17.25" customHeight="1"/>
    <row r="370" ht="17.25" customHeight="1"/>
    <row r="371" ht="17.25" customHeight="1"/>
    <row r="372" ht="17.25" customHeight="1"/>
    <row r="373" ht="17.25" customHeight="1"/>
    <row r="374" ht="17.25" customHeight="1"/>
    <row r="375" ht="17.25" customHeight="1"/>
    <row r="376" ht="17.25" customHeight="1"/>
    <row r="377" ht="17.25" customHeight="1"/>
    <row r="378" ht="17.25" customHeight="1"/>
    <row r="379" ht="17.25" customHeight="1"/>
    <row r="380" ht="17.25" customHeight="1"/>
    <row r="381" ht="17.25" customHeight="1"/>
    <row r="382" ht="17.25" customHeight="1"/>
    <row r="383" ht="17.25" customHeight="1"/>
    <row r="384" ht="17.25" customHeight="1"/>
    <row r="385" ht="17.25" customHeight="1"/>
    <row r="386" ht="17.25" customHeight="1"/>
    <row r="387" ht="17.25" customHeight="1"/>
    <row r="388" ht="17.25" customHeight="1"/>
    <row r="389" ht="17.25" customHeight="1"/>
    <row r="390" ht="17.25" customHeight="1"/>
    <row r="391" ht="17.25" customHeight="1"/>
    <row r="392" ht="17.25" customHeight="1"/>
    <row r="393" ht="17.25" customHeight="1"/>
    <row r="394" ht="17.25" customHeight="1"/>
    <row r="395" ht="17.25" customHeight="1"/>
    <row r="396" ht="17.25" customHeight="1"/>
    <row r="397" ht="17.25" customHeight="1"/>
    <row r="398" ht="17.25" customHeight="1"/>
    <row r="399" ht="17.25" customHeight="1"/>
    <row r="400" ht="17.25" customHeight="1"/>
    <row r="401" ht="17.25" customHeight="1"/>
    <row r="402" ht="17.25" customHeight="1"/>
    <row r="403" ht="17.25" customHeight="1"/>
    <row r="404" ht="17.25" customHeight="1"/>
    <row r="405" ht="17.25" customHeight="1"/>
    <row r="406" ht="17.25" customHeight="1"/>
    <row r="407" ht="17.25" customHeight="1"/>
    <row r="408" ht="17.25" customHeight="1"/>
    <row r="409" ht="17.25" customHeight="1"/>
    <row r="410" ht="17.25" customHeight="1"/>
    <row r="411" ht="17.25" customHeight="1"/>
    <row r="412" ht="17.25" customHeight="1"/>
    <row r="413" ht="17.25" customHeight="1"/>
    <row r="414" ht="17.25" customHeight="1"/>
    <row r="415" ht="17.25" customHeight="1"/>
    <row r="416" ht="17.25" customHeight="1"/>
    <row r="417" ht="17.25" customHeight="1"/>
    <row r="418" ht="17.25" customHeight="1"/>
    <row r="419" ht="17.25" customHeight="1"/>
    <row r="420" ht="17.25" customHeight="1"/>
    <row r="421" ht="17.25" customHeight="1"/>
    <row r="422" ht="17.25" customHeight="1"/>
    <row r="423" ht="17.25" customHeight="1"/>
    <row r="424" ht="17.25" customHeight="1"/>
    <row r="425" ht="17.25" customHeight="1"/>
    <row r="426" ht="17.25" customHeight="1"/>
    <row r="427" ht="17.25" customHeight="1"/>
    <row r="428" ht="17.25" customHeight="1"/>
    <row r="429" ht="17.25" customHeight="1"/>
    <row r="430" ht="17.25" customHeight="1"/>
    <row r="431" ht="17.25" customHeight="1"/>
    <row r="432" ht="17.25" customHeight="1"/>
    <row r="433" ht="17.25" customHeight="1"/>
    <row r="434" ht="17.25" customHeight="1"/>
    <row r="435" ht="17.25" customHeight="1"/>
    <row r="436" ht="17.25" customHeight="1"/>
    <row r="437" ht="17.25" customHeight="1"/>
    <row r="438" ht="17.25" customHeight="1"/>
    <row r="439" ht="17.25" customHeight="1"/>
    <row r="440" ht="17.25" customHeight="1"/>
    <row r="441" ht="17.25" customHeight="1"/>
    <row r="442" ht="17.25" customHeight="1"/>
    <row r="443" ht="17.25" customHeight="1"/>
    <row r="444" ht="17.25" customHeight="1"/>
    <row r="445" ht="17.25" customHeight="1"/>
    <row r="446" ht="17.25" customHeight="1"/>
    <row r="447" ht="17.25" customHeight="1"/>
    <row r="448" ht="17.25" customHeight="1"/>
    <row r="449" ht="17.25" customHeight="1"/>
    <row r="450" ht="17.25" customHeight="1"/>
    <row r="451" ht="17.25" customHeight="1"/>
    <row r="452" ht="17.25" customHeight="1"/>
    <row r="453" ht="17.25" customHeight="1"/>
    <row r="454" ht="17.25" customHeight="1"/>
    <row r="455" ht="17.25" customHeight="1"/>
    <row r="456" ht="17.25" customHeight="1"/>
    <row r="457" ht="17.25" customHeight="1"/>
    <row r="458" ht="17.25" customHeight="1"/>
    <row r="459" ht="17.25" customHeight="1"/>
    <row r="460" ht="17.25" customHeight="1"/>
    <row r="461" ht="17.25" customHeight="1"/>
    <row r="462" ht="17.25" customHeight="1"/>
    <row r="463" ht="17.25" customHeight="1"/>
    <row r="464" ht="17.25" customHeight="1"/>
    <row r="465" ht="17.25" customHeight="1"/>
    <row r="466" ht="17.25" customHeight="1"/>
    <row r="467" ht="17.25" customHeight="1"/>
    <row r="468" ht="17.25" customHeight="1"/>
    <row r="469" ht="17.25" customHeight="1"/>
    <row r="470" ht="17.25" customHeight="1"/>
    <row r="471" ht="17.25" customHeight="1"/>
    <row r="472" ht="17.25" customHeight="1"/>
    <row r="473" ht="17.25" customHeight="1"/>
    <row r="474" ht="17.25" customHeight="1"/>
    <row r="475" ht="17.25" customHeight="1"/>
    <row r="476" ht="17.25" customHeight="1"/>
    <row r="477" ht="17.25" customHeight="1"/>
    <row r="478" ht="17.25" customHeight="1"/>
    <row r="479" ht="17.25" customHeight="1"/>
    <row r="480" ht="17.25" customHeight="1"/>
    <row r="481" ht="17.25" customHeight="1"/>
    <row r="482" ht="17.25" customHeight="1"/>
    <row r="483" ht="17.25" customHeight="1"/>
    <row r="484" ht="17.25" customHeight="1"/>
  </sheetData>
  <sheetProtection sheet="1" objects="1" scenarios="1"/>
  <mergeCells count="2">
    <mergeCell ref="C1:I1"/>
    <mergeCell ref="J1:Q1"/>
  </mergeCells>
  <pageMargins left="0.39370078740157483" right="0.74803149606299213" top="0.39370078740157483" bottom="0.39370078740157483" header="0.51181102362204722" footer="0.51181102362204722"/>
  <pageSetup paperSize="9" scale="16"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249977111117893"/>
    <pageSetUpPr autoPageBreaks="0" fitToPage="1"/>
  </sheetPr>
  <dimension ref="A1:CM1303"/>
  <sheetViews>
    <sheetView showGridLines="0" showRowColHeaders="0" zoomScale="110" zoomScaleNormal="110" workbookViewId="0">
      <pane xSplit="14" ySplit="7" topLeftCell="O8" activePane="bottomRight" state="frozen"/>
      <selection pane="topRight" activeCell="O1" sqref="O1"/>
      <selection pane="bottomLeft" activeCell="A8" sqref="A8"/>
      <selection pane="bottomRight" activeCell="L1" sqref="L1:N1"/>
    </sheetView>
  </sheetViews>
  <sheetFormatPr defaultRowHeight="12.75"/>
  <cols>
    <col min="1" max="1" width="3.7109375" style="142" customWidth="1"/>
    <col min="2" max="4" width="11.85546875" style="142" customWidth="1"/>
    <col min="5" max="5" width="22.5703125" style="142" customWidth="1"/>
    <col min="6" max="6" width="12.7109375" style="142" customWidth="1"/>
    <col min="7" max="7" width="12.28515625" style="142" customWidth="1"/>
    <col min="8" max="8" width="9.5703125" style="142" customWidth="1"/>
    <col min="9" max="9" width="46.7109375" style="142" customWidth="1"/>
    <col min="10" max="10" width="9.140625" style="142"/>
    <col min="11" max="11" width="3.140625" style="142" customWidth="1"/>
    <col min="12" max="12" width="4.7109375" style="142" customWidth="1"/>
    <col min="13" max="14" width="9.140625" style="142"/>
    <col min="15" max="15" width="9.140625" style="160"/>
    <col min="16" max="16384" width="9.140625" style="142"/>
  </cols>
  <sheetData>
    <row r="1" spans="1:91" ht="30" customHeight="1">
      <c r="A1" s="227"/>
      <c r="B1" s="227"/>
      <c r="C1" s="227"/>
      <c r="D1" s="227"/>
      <c r="E1" s="227"/>
      <c r="F1" s="227"/>
      <c r="G1" s="227"/>
      <c r="H1" s="227"/>
      <c r="I1" s="227"/>
      <c r="J1" s="227"/>
      <c r="K1" s="161"/>
      <c r="L1" s="418" t="s">
        <v>1410</v>
      </c>
      <c r="M1" s="418"/>
      <c r="N1" s="418"/>
      <c r="O1" s="141"/>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249" customFormat="1" ht="6" customHeight="1">
      <c r="A2" s="246"/>
      <c r="B2" s="246"/>
      <c r="C2" s="246"/>
      <c r="D2" s="246"/>
      <c r="E2" s="246"/>
      <c r="F2" s="247">
        <v>4</v>
      </c>
      <c r="G2" s="247">
        <v>5</v>
      </c>
      <c r="H2" s="247">
        <v>6</v>
      </c>
      <c r="I2" s="247">
        <v>7</v>
      </c>
      <c r="J2" s="247">
        <v>8</v>
      </c>
      <c r="K2" s="247">
        <v>9</v>
      </c>
      <c r="L2" s="247">
        <v>10</v>
      </c>
      <c r="M2" s="247">
        <v>11</v>
      </c>
      <c r="N2" s="247">
        <v>12</v>
      </c>
      <c r="O2" s="248">
        <v>13</v>
      </c>
      <c r="P2" s="247">
        <v>14</v>
      </c>
      <c r="Q2" s="247">
        <v>15</v>
      </c>
      <c r="R2" s="247">
        <v>16</v>
      </c>
      <c r="S2" s="247">
        <v>17</v>
      </c>
      <c r="T2" s="247">
        <v>18</v>
      </c>
      <c r="U2" s="247">
        <v>19</v>
      </c>
      <c r="V2" s="247">
        <v>20</v>
      </c>
      <c r="W2" s="247">
        <v>21</v>
      </c>
      <c r="X2" s="247">
        <v>22</v>
      </c>
      <c r="Y2" s="247">
        <v>23</v>
      </c>
      <c r="Z2" s="247">
        <v>24</v>
      </c>
      <c r="AA2" s="247">
        <v>25</v>
      </c>
      <c r="AB2" s="247">
        <v>26</v>
      </c>
      <c r="AC2" s="247">
        <v>27</v>
      </c>
      <c r="AD2" s="247">
        <v>28</v>
      </c>
      <c r="AE2" s="247">
        <v>29</v>
      </c>
      <c r="AF2" s="247">
        <v>30</v>
      </c>
      <c r="AG2" s="247">
        <v>31</v>
      </c>
      <c r="AH2" s="247">
        <v>32</v>
      </c>
      <c r="AI2" s="247">
        <v>33</v>
      </c>
      <c r="AJ2" s="247">
        <v>34</v>
      </c>
      <c r="AK2" s="246"/>
      <c r="AL2" s="246" t="s">
        <v>1359</v>
      </c>
      <c r="AM2" s="246"/>
      <c r="AN2" s="246"/>
      <c r="AO2" s="246"/>
      <c r="AP2" s="246"/>
      <c r="AQ2" s="246"/>
      <c r="AR2" s="246"/>
      <c r="AS2" s="246"/>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row>
    <row r="3" spans="1:91" s="254" customFormat="1" ht="6" customHeight="1">
      <c r="A3" s="250"/>
      <c r="B3" s="250"/>
      <c r="C3" s="250"/>
      <c r="D3" s="250"/>
      <c r="E3" s="250"/>
      <c r="F3" s="251" t="s">
        <v>13</v>
      </c>
      <c r="G3" s="251" t="s">
        <v>16</v>
      </c>
      <c r="H3" s="251" t="s">
        <v>18</v>
      </c>
      <c r="I3" s="251" t="s">
        <v>19</v>
      </c>
      <c r="J3" s="251" t="s">
        <v>115</v>
      </c>
      <c r="K3" s="251" t="s">
        <v>23</v>
      </c>
      <c r="L3" s="251" t="s">
        <v>43</v>
      </c>
      <c r="M3" s="251" t="s">
        <v>45</v>
      </c>
      <c r="N3" s="251" t="s">
        <v>47</v>
      </c>
      <c r="O3" s="252" t="s">
        <v>51</v>
      </c>
      <c r="P3" s="251" t="s">
        <v>1337</v>
      </c>
      <c r="Q3" s="251" t="s">
        <v>58</v>
      </c>
      <c r="R3" s="251" t="s">
        <v>60</v>
      </c>
      <c r="S3" s="251" t="s">
        <v>61</v>
      </c>
      <c r="T3" s="251" t="s">
        <v>65</v>
      </c>
      <c r="U3" s="251" t="s">
        <v>67</v>
      </c>
      <c r="V3" s="251" t="s">
        <v>68</v>
      </c>
      <c r="W3" s="251" t="s">
        <v>69</v>
      </c>
      <c r="X3" s="251" t="s">
        <v>147</v>
      </c>
      <c r="Y3" s="251" t="s">
        <v>74</v>
      </c>
      <c r="Z3" s="251" t="s">
        <v>75</v>
      </c>
      <c r="AA3" s="251" t="s">
        <v>77</v>
      </c>
      <c r="AB3" s="251" t="s">
        <v>1360</v>
      </c>
      <c r="AC3" s="251" t="s">
        <v>159</v>
      </c>
      <c r="AD3" s="251" t="s">
        <v>84</v>
      </c>
      <c r="AE3" s="251" t="s">
        <v>89</v>
      </c>
      <c r="AF3" s="251" t="s">
        <v>173</v>
      </c>
      <c r="AG3" s="251" t="s">
        <v>98</v>
      </c>
      <c r="AH3" s="251" t="s">
        <v>100</v>
      </c>
      <c r="AI3" s="251" t="s">
        <v>176</v>
      </c>
      <c r="AJ3" s="251" t="s">
        <v>1357</v>
      </c>
      <c r="AK3" s="247"/>
      <c r="AL3" s="247"/>
      <c r="AM3" s="247"/>
      <c r="AN3" s="247"/>
      <c r="AO3" s="247"/>
      <c r="AP3" s="250"/>
      <c r="AQ3" s="250"/>
      <c r="AR3" s="250"/>
      <c r="AS3" s="250"/>
      <c r="AT3" s="253"/>
      <c r="AU3" s="253"/>
      <c r="AV3" s="253"/>
      <c r="AW3" s="253"/>
      <c r="AX3" s="253"/>
      <c r="AY3" s="253"/>
      <c r="AZ3" s="253"/>
      <c r="BA3" s="253"/>
      <c r="BB3" s="253">
        <v>52</v>
      </c>
      <c r="BC3" s="253">
        <v>53</v>
      </c>
      <c r="BD3" s="253">
        <v>54</v>
      </c>
      <c r="BE3" s="253">
        <v>55</v>
      </c>
      <c r="BF3" s="253">
        <v>56</v>
      </c>
      <c r="BG3" s="253">
        <v>57</v>
      </c>
      <c r="BH3" s="253">
        <v>58</v>
      </c>
      <c r="BI3" s="253">
        <v>59</v>
      </c>
      <c r="BJ3" s="253">
        <v>60</v>
      </c>
      <c r="BK3" s="253">
        <v>61</v>
      </c>
      <c r="BL3" s="253">
        <v>62</v>
      </c>
      <c r="BM3" s="253">
        <v>63</v>
      </c>
      <c r="BN3" s="253">
        <v>64</v>
      </c>
      <c r="BO3" s="253">
        <v>65</v>
      </c>
      <c r="BP3" s="253">
        <v>66</v>
      </c>
      <c r="BQ3" s="253">
        <v>67</v>
      </c>
      <c r="BR3" s="253">
        <v>68</v>
      </c>
      <c r="BS3" s="253">
        <v>69</v>
      </c>
      <c r="BT3" s="253">
        <v>70</v>
      </c>
      <c r="BU3" s="253">
        <v>71</v>
      </c>
      <c r="BV3" s="253">
        <v>72</v>
      </c>
      <c r="BW3" s="253">
        <v>73</v>
      </c>
      <c r="BX3" s="253">
        <v>74</v>
      </c>
      <c r="BY3" s="253">
        <v>75</v>
      </c>
      <c r="BZ3" s="253">
        <v>76</v>
      </c>
      <c r="CA3" s="253">
        <v>77</v>
      </c>
      <c r="CB3" s="253">
        <v>78</v>
      </c>
      <c r="CC3" s="253">
        <v>79</v>
      </c>
      <c r="CD3" s="253">
        <v>80</v>
      </c>
      <c r="CE3" s="253">
        <v>81</v>
      </c>
      <c r="CF3" s="253">
        <v>82</v>
      </c>
      <c r="CG3" s="253">
        <v>83</v>
      </c>
      <c r="CH3" s="253">
        <v>84</v>
      </c>
      <c r="CI3" s="253">
        <v>85</v>
      </c>
      <c r="CJ3" s="253">
        <v>86</v>
      </c>
      <c r="CK3" s="253">
        <v>87</v>
      </c>
      <c r="CL3" s="253">
        <v>88</v>
      </c>
      <c r="CM3" s="253">
        <v>89</v>
      </c>
    </row>
    <row r="4" spans="1:91" s="257" customFormat="1" ht="18" customHeight="1">
      <c r="A4" s="255"/>
      <c r="B4" s="256">
        <v>6</v>
      </c>
      <c r="C4" s="255" t="str">
        <f>INDEX('3 Correl Data Metro'!C5:C210,B4)</f>
        <v>Losses per adult: 2018/19</v>
      </c>
      <c r="D4" s="255"/>
      <c r="F4" s="258">
        <f>VLOOKUP($B$5,'3 Correl Data Metro'!$A$5:$AH$210,F$2)</f>
        <v>3.5</v>
      </c>
      <c r="G4" s="258">
        <f>VLOOKUP($B$5,'3 Correl Data Metro'!$A$5:$AH$210,G$2)</f>
        <v>2.8</v>
      </c>
      <c r="H4" s="258">
        <f>VLOOKUP($B$5,'3 Correl Data Metro'!$A$5:$AH$210,H$2)</f>
        <v>2.9</v>
      </c>
      <c r="I4" s="259">
        <f>VLOOKUP($B$5,'3 Correl Data Metro'!$A$5:$AH$210,I$2)</f>
        <v>8.6</v>
      </c>
      <c r="J4" s="258">
        <f>VLOOKUP($B$5,'3 Correl Data Metro'!$A$5:$AH$210,J$2)</f>
        <v>5</v>
      </c>
      <c r="K4" s="258">
        <f>VLOOKUP($B$5,'3 Correl Data Metro'!$A$5:$AH$210,K$2)</f>
        <v>5.4</v>
      </c>
      <c r="L4" s="258">
        <f>VLOOKUP($B$5,'3 Correl Data Metro'!$A$5:$AH$210,L$2)</f>
        <v>5.4</v>
      </c>
      <c r="M4" s="258">
        <f>VLOOKUP($B$5,'3 Correl Data Metro'!$A$5:$AH$210,M$2)</f>
        <v>5.4</v>
      </c>
      <c r="N4" s="258">
        <f>VLOOKUP($B$5,'3 Correl Data Metro'!$A$5:$AH$210,N$2)</f>
        <v>3.1</v>
      </c>
      <c r="O4" s="258">
        <f>VLOOKUP($B$5,'3 Correl Data Metro'!$A$5:$AH$210,O$2)</f>
        <v>7.7</v>
      </c>
      <c r="P4" s="258">
        <f>VLOOKUP($B$5,'3 Correl Data Metro'!$A$5:$AH$210,P$2)</f>
        <v>4.3</v>
      </c>
      <c r="Q4" s="258">
        <f>VLOOKUP($B$5,'3 Correl Data Metro'!$A$5:$AH$210,Q$2)</f>
        <v>7.8</v>
      </c>
      <c r="R4" s="258">
        <f>VLOOKUP($B$5,'3 Correl Data Metro'!$A$5:$AH$210,R$2)</f>
        <v>4.4000000000000004</v>
      </c>
      <c r="S4" s="258">
        <f>VLOOKUP($B$5,'3 Correl Data Metro'!$A$5:$AH$210,S$2)</f>
        <v>3.8</v>
      </c>
      <c r="T4" s="258">
        <f>VLOOKUP($B$5,'3 Correl Data Metro'!$A$5:$AH$210,T$2)</f>
        <v>4.4000000000000004</v>
      </c>
      <c r="U4" s="258">
        <f>VLOOKUP($B$5,'3 Correl Data Metro'!$A$5:$AH$210,U$2)</f>
        <v>5.2</v>
      </c>
      <c r="V4" s="258">
        <f>VLOOKUP($B$5,'3 Correl Data Metro'!$A$5:$AH$210,V$2)</f>
        <v>4.0999999999999996</v>
      </c>
      <c r="W4" s="258">
        <f>VLOOKUP($B$5,'3 Correl Data Metro'!$A$5:$AH$210,W$2)</f>
        <v>3.7</v>
      </c>
      <c r="X4" s="258">
        <f>VLOOKUP($B$5,'3 Correl Data Metro'!$A$5:$AH$210,X$2)</f>
        <v>6.7</v>
      </c>
      <c r="Y4" s="258">
        <f>VLOOKUP($B$5,'3 Correl Data Metro'!$A$5:$AH$210,Y$2)</f>
        <v>2.5</v>
      </c>
      <c r="Z4" s="258">
        <f>VLOOKUP($B$5,'3 Correl Data Metro'!$A$5:$AH$210,Z$2)</f>
        <v>4.5</v>
      </c>
      <c r="AA4" s="258">
        <f>VLOOKUP($B$5,'3 Correl Data Metro'!$A$5:$AH$210,AA$2)</f>
        <v>5.4</v>
      </c>
      <c r="AB4" s="258">
        <f>VLOOKUP($B$5,'3 Correl Data Metro'!$A$5:$AH$210,AB$2)</f>
        <v>3.8</v>
      </c>
      <c r="AC4" s="258">
        <f>VLOOKUP($B$5,'3 Correl Data Metro'!$A$5:$AH$210,AC$2)</f>
        <v>2</v>
      </c>
      <c r="AD4" s="258">
        <f>VLOOKUP($B$5,'3 Correl Data Metro'!$A$5:$AH$210,AD$2)</f>
        <v>4.3</v>
      </c>
      <c r="AE4" s="258">
        <f>VLOOKUP($B$5,'3 Correl Data Metro'!$A$5:$AH$210,AE$2)</f>
        <v>2.5</v>
      </c>
      <c r="AF4" s="258">
        <f>VLOOKUP($B$5,'3 Correl Data Metro'!$A$5:$AH$210,AF$2)</f>
        <v>4.5999999999999996</v>
      </c>
      <c r="AG4" s="258">
        <f>VLOOKUP($B$5,'3 Correl Data Metro'!$A$5:$AH$210,AG$2)</f>
        <v>5.6</v>
      </c>
      <c r="AH4" s="258">
        <f>VLOOKUP($B$5,'3 Correl Data Metro'!$A$5:$AH$210,AH$2)</f>
        <v>5.7</v>
      </c>
      <c r="AI4" s="258">
        <f>VLOOKUP($B$5,'3 Correl Data Metro'!$A$5:$AH$210,AI$2)</f>
        <v>5.3</v>
      </c>
      <c r="AJ4" s="258">
        <f>VLOOKUP($B$5,'3 Correl Data Metro'!$A$5:$AH$210,AJ$2)</f>
        <v>4.2</v>
      </c>
      <c r="AK4" s="258"/>
      <c r="AL4" s="258" t="s">
        <v>1361</v>
      </c>
      <c r="AM4" s="258"/>
      <c r="AN4" s="258"/>
      <c r="AO4" s="260"/>
      <c r="AP4" s="260"/>
      <c r="AQ4" s="260"/>
      <c r="AR4" s="260"/>
      <c r="AS4" s="260"/>
      <c r="AT4" s="261"/>
      <c r="AU4" s="261"/>
      <c r="AV4" s="261"/>
      <c r="AW4" s="261"/>
      <c r="AX4" s="262"/>
      <c r="AY4" s="262"/>
      <c r="AZ4" s="262"/>
      <c r="BA4" s="262"/>
      <c r="BB4" s="262"/>
      <c r="BC4" s="262"/>
      <c r="BD4" s="262"/>
      <c r="BE4" s="262"/>
      <c r="BF4" s="262"/>
      <c r="BG4" s="262"/>
      <c r="BH4" s="262"/>
      <c r="BI4" s="262"/>
      <c r="BJ4" s="262"/>
      <c r="BK4" s="262"/>
      <c r="BL4" s="262"/>
      <c r="BM4" s="262"/>
      <c r="BN4" s="262"/>
      <c r="BO4" s="262"/>
      <c r="BP4" s="262"/>
      <c r="BQ4" s="262"/>
      <c r="BR4" s="262"/>
      <c r="BS4" s="262"/>
      <c r="BT4" s="262"/>
      <c r="BU4" s="262"/>
      <c r="BV4" s="262"/>
      <c r="BW4" s="262"/>
      <c r="BX4" s="262"/>
      <c r="BY4" s="262"/>
      <c r="BZ4" s="262"/>
      <c r="CA4" s="262"/>
      <c r="CB4" s="262"/>
      <c r="CC4" s="262"/>
      <c r="CD4" s="262"/>
      <c r="CE4" s="262"/>
      <c r="CF4" s="262"/>
      <c r="CG4" s="262"/>
      <c r="CH4" s="262"/>
      <c r="CI4" s="262"/>
      <c r="CJ4" s="262"/>
      <c r="CK4" s="262"/>
      <c r="CL4" s="262"/>
      <c r="CM4" s="262"/>
    </row>
    <row r="5" spans="1:91" s="257" customFormat="1" ht="11.25" customHeight="1">
      <c r="A5" s="255"/>
      <c r="B5" s="255">
        <v>9</v>
      </c>
      <c r="C5" s="255" t="str">
        <f>INDEX('3 Correl Data Metro'!C5:C109,B5)</f>
        <v>Unemployment Rate March 2019</v>
      </c>
      <c r="D5" s="255"/>
      <c r="F5" s="258">
        <f>VLOOKUP($B$4,'3 Correl Data Metro'!$A$5:$AH$210,F$2)</f>
        <v>566.48739440605232</v>
      </c>
      <c r="G5" s="258">
        <f>VLOOKUP($B$4,'3 Correl Data Metro'!$A$5:$AH$210,G$2)</f>
        <v>167.5004220061162</v>
      </c>
      <c r="H5" s="258">
        <f>VLOOKUP($B$4,'3 Correl Data Metro'!$A$5:$AH$210,H$2)</f>
        <v>142.59772776809572</v>
      </c>
      <c r="I5" s="258">
        <f>VLOOKUP($B$4,'3 Correl Data Metro'!$A$5:$AH$210,I$2)</f>
        <v>879.04097694057225</v>
      </c>
      <c r="J5" s="258">
        <f>VLOOKUP($B$4,'3 Correl Data Metro'!$A$5:$AH$210,J$2)</f>
        <v>355.5343228988956</v>
      </c>
      <c r="K5" s="258">
        <f>VLOOKUP($B$4,'3 Correl Data Metro'!$A$5:$AH$210,K$2)</f>
        <v>523.5307280262557</v>
      </c>
      <c r="L5" s="258">
        <f>VLOOKUP($B$4,'3 Correl Data Metro'!$A$5:$AH$210,L$2)</f>
        <v>620.43565653687995</v>
      </c>
      <c r="M5" s="258">
        <f>VLOOKUP($B$4,'3 Correl Data Metro'!$A$5:$AH$210,M$2)</f>
        <v>561.63894684437184</v>
      </c>
      <c r="N5" s="258">
        <f>VLOOKUP($B$4,'3 Correl Data Metro'!$A$5:$AH$210,N$2)</f>
        <v>616.72503379850082</v>
      </c>
      <c r="O5" s="258">
        <f>VLOOKUP($B$4,'3 Correl Data Metro'!$A$5:$AH$210,O$2)</f>
        <v>909.71012870301331</v>
      </c>
      <c r="P5" s="258">
        <f>VLOOKUP($B$4,'3 Correl Data Metro'!$A$5:$AH$210,P$2)</f>
        <v>624.90993332272228</v>
      </c>
      <c r="Q5" s="258">
        <f>VLOOKUP($B$4,'3 Correl Data Metro'!$A$5:$AH$210,Q$2)</f>
        <v>663.77683801816295</v>
      </c>
      <c r="R5" s="258">
        <f>VLOOKUP($B$4,'3 Correl Data Metro'!$A$5:$AH$210,R$2)</f>
        <v>663.15875641020534</v>
      </c>
      <c r="S5" s="258">
        <f>VLOOKUP($B$4,'3 Correl Data Metro'!$A$5:$AH$210,S$2)</f>
        <v>575.68478628725529</v>
      </c>
      <c r="T5" s="258">
        <f>VLOOKUP($B$4,'3 Correl Data Metro'!$A$5:$AH$210,T$2)</f>
        <v>555.69711007238811</v>
      </c>
      <c r="U5" s="258">
        <f>VLOOKUP($B$4,'3 Correl Data Metro'!$A$5:$AH$210,U$2)</f>
        <v>752.67167537479452</v>
      </c>
      <c r="V5" s="258">
        <f>VLOOKUP($B$4,'3 Correl Data Metro'!$A$5:$AH$210,V$2)</f>
        <v>685.56462022756671</v>
      </c>
      <c r="W5" s="258">
        <f>VLOOKUP($B$4,'3 Correl Data Metro'!$A$5:$AH$210,W$2)</f>
        <v>546.73919577930337</v>
      </c>
      <c r="X5" s="258">
        <f>VLOOKUP($B$4,'3 Correl Data Metro'!$A$5:$AH$210,X$2)</f>
        <v>575.98283788898175</v>
      </c>
      <c r="Y5" s="258">
        <f>VLOOKUP($B$4,'3 Correl Data Metro'!$A$5:$AH$210,Y$2)</f>
        <v>685.90752121803405</v>
      </c>
      <c r="Z5" s="258">
        <f>VLOOKUP($B$4,'3 Correl Data Metro'!$A$5:$AH$210,Z$2)</f>
        <v>754.414038014276</v>
      </c>
      <c r="AA5" s="258">
        <f>VLOOKUP($B$4,'3 Correl Data Metro'!$A$5:$AH$210,AA$2)</f>
        <v>428.75381924834983</v>
      </c>
      <c r="AB5" s="258">
        <f>VLOOKUP($B$4,'3 Correl Data Metro'!$A$5:$AH$210,AB$2)</f>
        <v>631.38686041720678</v>
      </c>
      <c r="AC5" s="258">
        <f>VLOOKUP($B$4,'3 Correl Data Metro'!$A$5:$AH$210,AC$2)</f>
        <v>199.46329407266086</v>
      </c>
      <c r="AD5" s="258">
        <f>VLOOKUP($B$4,'3 Correl Data Metro'!$A$5:$AH$210,AD$2)</f>
        <v>287.2870466471951</v>
      </c>
      <c r="AE5" s="258">
        <f>VLOOKUP($B$4,'3 Correl Data Metro'!$A$5:$AH$210,AE$2)</f>
        <v>200.70229180926901</v>
      </c>
      <c r="AF5" s="258">
        <f>VLOOKUP($B$4,'3 Correl Data Metro'!$A$5:$AH$210,AF$2)</f>
        <v>376.92578747920129</v>
      </c>
      <c r="AG5" s="258">
        <f>VLOOKUP($B$4,'3 Correl Data Metro'!$A$5:$AH$210,AG$2)</f>
        <v>655.09147711588071</v>
      </c>
      <c r="AH5" s="258">
        <f>VLOOKUP($B$4,'3 Correl Data Metro'!$A$5:$AH$210,AH$2)</f>
        <v>564.79211069450093</v>
      </c>
      <c r="AI5" s="258">
        <f>VLOOKUP($B$4,'3 Correl Data Metro'!$A$5:$AH$210,AI$2)</f>
        <v>352.66372891334589</v>
      </c>
      <c r="AJ5" s="258">
        <f>VLOOKUP($B$4,'3 Correl Data Metro'!$A$5:$AH$210,AJ$2)</f>
        <v>239.7278076825306</v>
      </c>
      <c r="AK5" s="258"/>
      <c r="AL5" s="258" t="s">
        <v>1362</v>
      </c>
      <c r="AM5" s="258"/>
      <c r="AN5" s="258"/>
      <c r="AO5" s="260"/>
      <c r="AP5" s="260"/>
      <c r="AQ5" s="260"/>
      <c r="AR5" s="260"/>
      <c r="AS5" s="260"/>
      <c r="AT5" s="261"/>
      <c r="AU5" s="261"/>
      <c r="AV5" s="261"/>
      <c r="AW5" s="261"/>
      <c r="AX5" s="262"/>
      <c r="AY5" s="262"/>
      <c r="AZ5" s="262"/>
      <c r="BA5" s="262"/>
      <c r="BB5" s="262"/>
      <c r="BC5" s="262"/>
      <c r="BD5" s="262"/>
      <c r="BE5" s="262"/>
      <c r="BF5" s="262"/>
      <c r="BG5" s="262"/>
      <c r="BH5" s="262"/>
      <c r="BI5" s="262"/>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2"/>
    </row>
    <row r="6" spans="1:91" ht="15" customHeight="1">
      <c r="A6" s="420" t="str">
        <f>C4</f>
        <v>Losses per adult: 2018/19</v>
      </c>
      <c r="B6" s="420"/>
      <c r="C6" s="420"/>
      <c r="D6" s="420"/>
      <c r="E6" s="420"/>
      <c r="F6" s="420"/>
      <c r="G6" s="421" t="s">
        <v>1363</v>
      </c>
      <c r="H6" s="423">
        <f>CORREL(F4:AJ4,F5:AJ5)</f>
        <v>0.57065608565897574</v>
      </c>
      <c r="I6" s="227"/>
      <c r="J6" s="227"/>
      <c r="K6" s="161"/>
      <c r="L6" s="144"/>
      <c r="M6" s="144"/>
      <c r="N6" s="144"/>
      <c r="O6" s="144"/>
      <c r="P6" s="144"/>
      <c r="Q6" s="144"/>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ht="15" customHeight="1">
      <c r="A7" s="425" t="str">
        <f>CONCATENATE("        ….by ",C5)</f>
        <v xml:space="preserve">        ….by Unemployment Rate March 2019</v>
      </c>
      <c r="B7" s="425"/>
      <c r="C7" s="425"/>
      <c r="D7" s="425"/>
      <c r="E7" s="425"/>
      <c r="F7" s="425"/>
      <c r="G7" s="422"/>
      <c r="H7" s="424"/>
      <c r="I7" s="227"/>
      <c r="J7" s="227"/>
      <c r="K7" s="161"/>
      <c r="L7" s="140"/>
      <c r="M7" s="140"/>
      <c r="N7" s="140"/>
      <c r="O7" s="141"/>
      <c r="P7" s="140"/>
      <c r="Q7" s="140"/>
      <c r="R7" s="140"/>
      <c r="S7" s="145"/>
      <c r="T7" s="146" t="s">
        <v>1364</v>
      </c>
      <c r="U7" s="145">
        <v>1</v>
      </c>
      <c r="V7" s="145">
        <v>2</v>
      </c>
      <c r="W7" s="145">
        <v>3</v>
      </c>
      <c r="X7" s="145">
        <v>4</v>
      </c>
      <c r="Y7" s="145">
        <v>5</v>
      </c>
      <c r="Z7" s="145">
        <v>6</v>
      </c>
      <c r="AA7" s="145">
        <v>7</v>
      </c>
      <c r="AB7" s="145">
        <v>8</v>
      </c>
      <c r="AC7" s="145">
        <v>9</v>
      </c>
      <c r="AD7" s="145">
        <v>10</v>
      </c>
      <c r="AE7" s="145">
        <v>11</v>
      </c>
      <c r="AF7" s="145">
        <v>12</v>
      </c>
      <c r="AG7" s="145">
        <v>13</v>
      </c>
      <c r="AH7" s="145">
        <v>14</v>
      </c>
      <c r="AI7" s="145">
        <v>15</v>
      </c>
      <c r="AJ7" s="145">
        <v>16</v>
      </c>
      <c r="AK7" s="145">
        <v>17</v>
      </c>
      <c r="AL7" s="145">
        <v>18</v>
      </c>
      <c r="AM7" s="145">
        <v>19</v>
      </c>
      <c r="AN7" s="145">
        <v>20</v>
      </c>
      <c r="AO7" s="145">
        <v>21</v>
      </c>
      <c r="AP7" s="145">
        <v>22</v>
      </c>
      <c r="AQ7" s="145">
        <v>23</v>
      </c>
      <c r="AR7" s="145">
        <v>24</v>
      </c>
      <c r="AS7" s="145">
        <v>25</v>
      </c>
      <c r="AT7" s="145">
        <v>26</v>
      </c>
      <c r="AU7" s="145">
        <v>27</v>
      </c>
      <c r="AV7" s="145">
        <v>28</v>
      </c>
      <c r="AW7" s="145">
        <v>29</v>
      </c>
      <c r="AX7" s="145">
        <v>30</v>
      </c>
      <c r="AY7" s="145">
        <v>31</v>
      </c>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c r="A8" s="227"/>
      <c r="B8" s="227"/>
      <c r="C8" s="227"/>
      <c r="D8" s="227"/>
      <c r="E8" s="227"/>
      <c r="F8" s="227"/>
      <c r="G8" s="227"/>
      <c r="H8" s="227"/>
      <c r="I8" s="227"/>
      <c r="J8" s="227"/>
      <c r="K8" s="161"/>
      <c r="L8" s="140"/>
      <c r="M8" s="140"/>
      <c r="N8" s="140"/>
      <c r="O8" s="141"/>
      <c r="P8" s="140"/>
      <c r="Q8" s="145"/>
      <c r="R8" s="146" t="str">
        <f>CONCATENATE("Ranked ",R10)</f>
        <v>Ranked Unemployment Rate March 2019</v>
      </c>
      <c r="S8" s="145"/>
      <c r="T8" s="145"/>
      <c r="U8" s="143">
        <f t="shared" ref="U8:AY8" si="0">RANK(U10,$U10:$AY10)</f>
        <v>25</v>
      </c>
      <c r="V8" s="143">
        <f t="shared" si="0"/>
        <v>28</v>
      </c>
      <c r="W8" s="143">
        <f t="shared" si="0"/>
        <v>27</v>
      </c>
      <c r="X8" s="143">
        <f t="shared" si="0"/>
        <v>1</v>
      </c>
      <c r="Y8" s="143">
        <f t="shared" si="0"/>
        <v>13</v>
      </c>
      <c r="Z8" s="143">
        <f t="shared" si="0"/>
        <v>10</v>
      </c>
      <c r="AA8" s="143">
        <f t="shared" si="0"/>
        <v>9</v>
      </c>
      <c r="AB8" s="143">
        <f t="shared" si="0"/>
        <v>8</v>
      </c>
      <c r="AC8" s="143">
        <f t="shared" si="0"/>
        <v>26</v>
      </c>
      <c r="AD8" s="143">
        <f t="shared" si="0"/>
        <v>3</v>
      </c>
      <c r="AE8" s="143">
        <f t="shared" si="0"/>
        <v>19</v>
      </c>
      <c r="AF8" s="143">
        <f t="shared" si="0"/>
        <v>2</v>
      </c>
      <c r="AG8" s="143">
        <f t="shared" si="0"/>
        <v>17</v>
      </c>
      <c r="AH8" s="143">
        <f t="shared" si="0"/>
        <v>23</v>
      </c>
      <c r="AI8" s="143">
        <f t="shared" si="0"/>
        <v>16</v>
      </c>
      <c r="AJ8" s="143">
        <f t="shared" si="0"/>
        <v>12</v>
      </c>
      <c r="AK8" s="143">
        <f t="shared" si="0"/>
        <v>21</v>
      </c>
      <c r="AL8" s="143">
        <f t="shared" si="0"/>
        <v>24</v>
      </c>
      <c r="AM8" s="143">
        <f t="shared" si="0"/>
        <v>4</v>
      </c>
      <c r="AN8" s="143">
        <f t="shared" si="0"/>
        <v>30</v>
      </c>
      <c r="AO8" s="143">
        <f t="shared" si="0"/>
        <v>15</v>
      </c>
      <c r="AP8" s="143">
        <f t="shared" si="0"/>
        <v>7</v>
      </c>
      <c r="AQ8" s="143">
        <f t="shared" si="0"/>
        <v>22</v>
      </c>
      <c r="AR8" s="143">
        <f t="shared" si="0"/>
        <v>31</v>
      </c>
      <c r="AS8" s="143">
        <f t="shared" si="0"/>
        <v>18</v>
      </c>
      <c r="AT8" s="143">
        <f t="shared" si="0"/>
        <v>29</v>
      </c>
      <c r="AU8" s="143">
        <f t="shared" si="0"/>
        <v>14</v>
      </c>
      <c r="AV8" s="143">
        <f t="shared" si="0"/>
        <v>6</v>
      </c>
      <c r="AW8" s="143">
        <f t="shared" si="0"/>
        <v>5</v>
      </c>
      <c r="AX8" s="143">
        <f t="shared" si="0"/>
        <v>11</v>
      </c>
      <c r="AY8" s="143">
        <f t="shared" si="0"/>
        <v>20</v>
      </c>
      <c r="AZ8" s="145"/>
      <c r="BA8" s="145"/>
      <c r="BB8" s="145"/>
      <c r="BC8" s="145"/>
      <c r="BD8" s="145"/>
      <c r="BE8" s="145"/>
      <c r="BF8" s="145"/>
      <c r="BG8" s="145"/>
      <c r="BH8" s="145"/>
      <c r="BI8" s="145"/>
      <c r="BJ8" s="145"/>
      <c r="BK8" s="145"/>
      <c r="BL8" s="145"/>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ht="15" customHeight="1">
      <c r="A9" s="426" t="str">
        <f>INDEX('3 Correl Data Metro'!C5:C12,Correlations!B4)</f>
        <v>Losses per adult: 2018/19</v>
      </c>
      <c r="B9" s="147"/>
      <c r="C9" s="147"/>
      <c r="D9" s="147"/>
      <c r="E9" s="147"/>
      <c r="F9" s="147"/>
      <c r="G9" s="147"/>
      <c r="H9" s="147"/>
      <c r="I9" s="227"/>
      <c r="J9" s="227"/>
      <c r="K9" s="228" t="str">
        <f>IF(LEN('3 Correl Data Metro'!B6)&gt;0,'3 Correl Data Metro'!B6,"")</f>
        <v/>
      </c>
      <c r="L9" s="140"/>
      <c r="M9" s="140"/>
      <c r="N9" s="140"/>
      <c r="O9" s="141"/>
      <c r="P9" s="140"/>
      <c r="Q9" s="145"/>
      <c r="R9" s="145"/>
      <c r="S9" s="145"/>
      <c r="T9" s="145"/>
      <c r="U9" s="148" t="s">
        <v>13</v>
      </c>
      <c r="V9" s="148" t="s">
        <v>16</v>
      </c>
      <c r="W9" s="148" t="s">
        <v>18</v>
      </c>
      <c r="X9" s="148" t="s">
        <v>19</v>
      </c>
      <c r="Y9" s="148" t="s">
        <v>115</v>
      </c>
      <c r="Z9" s="148" t="s">
        <v>23</v>
      </c>
      <c r="AA9" s="148" t="s">
        <v>43</v>
      </c>
      <c r="AB9" s="148" t="s">
        <v>45</v>
      </c>
      <c r="AC9" s="148" t="s">
        <v>47</v>
      </c>
      <c r="AD9" s="149" t="s">
        <v>51</v>
      </c>
      <c r="AE9" s="148" t="s">
        <v>133</v>
      </c>
      <c r="AF9" s="148" t="s">
        <v>58</v>
      </c>
      <c r="AG9" s="148" t="s">
        <v>60</v>
      </c>
      <c r="AH9" s="148" t="s">
        <v>61</v>
      </c>
      <c r="AI9" s="148" t="s">
        <v>65</v>
      </c>
      <c r="AJ9" s="148" t="s">
        <v>67</v>
      </c>
      <c r="AK9" s="148" t="s">
        <v>68</v>
      </c>
      <c r="AL9" s="148" t="s">
        <v>69</v>
      </c>
      <c r="AM9" s="148" t="s">
        <v>147</v>
      </c>
      <c r="AN9" s="148" t="s">
        <v>74</v>
      </c>
      <c r="AO9" s="148" t="s">
        <v>75</v>
      </c>
      <c r="AP9" s="148" t="s">
        <v>77</v>
      </c>
      <c r="AQ9" s="148" t="s">
        <v>1360</v>
      </c>
      <c r="AR9" s="148" t="s">
        <v>159</v>
      </c>
      <c r="AS9" s="148" t="s">
        <v>84</v>
      </c>
      <c r="AT9" s="148" t="s">
        <v>89</v>
      </c>
      <c r="AU9" s="148" t="s">
        <v>173</v>
      </c>
      <c r="AV9" s="148" t="s">
        <v>98</v>
      </c>
      <c r="AW9" s="148" t="s">
        <v>100</v>
      </c>
      <c r="AX9" s="148" t="s">
        <v>176</v>
      </c>
      <c r="AY9" s="148" t="s">
        <v>177</v>
      </c>
      <c r="AZ9" s="145"/>
      <c r="BA9" s="145"/>
      <c r="BB9" s="145"/>
      <c r="BC9" s="145"/>
      <c r="BD9" s="145"/>
      <c r="BE9" s="145"/>
      <c r="BF9" s="145"/>
      <c r="BG9" s="145"/>
      <c r="BH9" s="145"/>
      <c r="BI9" s="145"/>
      <c r="BJ9" s="145"/>
      <c r="BK9" s="145"/>
      <c r="BL9" s="145"/>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c r="A10" s="426"/>
      <c r="B10" s="147"/>
      <c r="C10" s="147"/>
      <c r="D10" s="147"/>
      <c r="E10" s="147"/>
      <c r="F10" s="147"/>
      <c r="G10" s="147"/>
      <c r="H10" s="147"/>
      <c r="I10" s="227"/>
      <c r="J10" s="227"/>
      <c r="K10" s="228" t="str">
        <f>IF(LEN('3 Correl Data Metro'!B7)&gt;0,'3 Correl Data Metro'!B7,"")</f>
        <v/>
      </c>
      <c r="L10" s="140"/>
      <c r="M10" s="140"/>
      <c r="N10" s="140"/>
      <c r="O10" s="141"/>
      <c r="P10" s="140"/>
      <c r="Q10" s="145"/>
      <c r="R10" s="150" t="str">
        <f>C5</f>
        <v>Unemployment Rate March 2019</v>
      </c>
      <c r="S10" s="150"/>
      <c r="T10" s="150"/>
      <c r="U10" s="151">
        <f>VLOOKUP($B$5,'3 Correl Data Metro'!$A$5:$AH$210,F$2)+U7*0.00001</f>
        <v>3.5000100000000001</v>
      </c>
      <c r="V10" s="151">
        <f>VLOOKUP($B$5,'3 Correl Data Metro'!$A$5:$AH$210,G$2)+V7*0.00001</f>
        <v>2.80002</v>
      </c>
      <c r="W10" s="151">
        <f>VLOOKUP($B$5,'3 Correl Data Metro'!$A$5:$AH$210,H$2)+W7*0.00001</f>
        <v>2.9000300000000001</v>
      </c>
      <c r="X10" s="151">
        <f>VLOOKUP($B$5,'3 Correl Data Metro'!$A$5:$AH$210,I$2)+X7*0.00001</f>
        <v>8.6000399999999999</v>
      </c>
      <c r="Y10" s="151">
        <f>VLOOKUP($B$5,'3 Correl Data Metro'!$A$5:$AH$210,J$2)+Y7*0.00001</f>
        <v>5.0000499999999999</v>
      </c>
      <c r="Z10" s="151">
        <f>VLOOKUP($B$5,'3 Correl Data Metro'!$A$5:$AH$210,K$2)+Z7*0.00001</f>
        <v>5.4000600000000007</v>
      </c>
      <c r="AA10" s="151">
        <f>VLOOKUP($B$5,'3 Correl Data Metro'!$A$5:$AH$210,L$2)+AA7*0.00001</f>
        <v>5.4000700000000004</v>
      </c>
      <c r="AB10" s="151">
        <f>VLOOKUP($B$5,'3 Correl Data Metro'!$A$5:$AH$210,M$2)+AB7*0.00001</f>
        <v>5.40008</v>
      </c>
      <c r="AC10" s="151">
        <f>VLOOKUP($B$5,'3 Correl Data Metro'!$A$5:$AH$210,N$2)+AC7*0.00001</f>
        <v>3.1000900000000002</v>
      </c>
      <c r="AD10" s="151">
        <f>VLOOKUP($B$5,'3 Correl Data Metro'!$A$5:$AH$210,O$2)+AD7*0.00001</f>
        <v>7.7000999999999999</v>
      </c>
      <c r="AE10" s="151">
        <f>VLOOKUP($B$5,'3 Correl Data Metro'!$A$5:$AH$210,P$2)+AE7*0.00001</f>
        <v>4.3001100000000001</v>
      </c>
      <c r="AF10" s="151">
        <f>VLOOKUP($B$5,'3 Correl Data Metro'!$A$5:$AH$210,Q$2)+AF7*0.00001</f>
        <v>7.8001199999999997</v>
      </c>
      <c r="AG10" s="151">
        <f>VLOOKUP($B$5,'3 Correl Data Metro'!$A$5:$AH$210,R$2)+AG7*0.00001</f>
        <v>4.4001300000000008</v>
      </c>
      <c r="AH10" s="151">
        <f>VLOOKUP($B$5,'3 Correl Data Metro'!$A$5:$AH$210,S$2)+AH7*0.00001</f>
        <v>3.8001399999999999</v>
      </c>
      <c r="AI10" s="151">
        <f>VLOOKUP($B$5,'3 Correl Data Metro'!$A$5:$AH$210,T$2)+AI7*0.00001</f>
        <v>4.40015</v>
      </c>
      <c r="AJ10" s="151">
        <f>VLOOKUP($B$5,'3 Correl Data Metro'!$A$5:$AH$210,U$2)+AJ7*0.00001</f>
        <v>5.2001600000000003</v>
      </c>
      <c r="AK10" s="151">
        <f>VLOOKUP($B$5,'3 Correl Data Metro'!$A$5:$AH$210,V$2)+AK7*0.00001</f>
        <v>4.1001699999999994</v>
      </c>
      <c r="AL10" s="151">
        <f>VLOOKUP($B$5,'3 Correl Data Metro'!$A$5:$AH$210,W$2)+AL7*0.00001</f>
        <v>3.70018</v>
      </c>
      <c r="AM10" s="151">
        <f>VLOOKUP($B$5,'3 Correl Data Metro'!$A$5:$AH$210,X$2)+AM7*0.00001</f>
        <v>6.7001900000000001</v>
      </c>
      <c r="AN10" s="151">
        <f>VLOOKUP($B$5,'3 Correl Data Metro'!$A$5:$AH$210,Y$2)+AN7*0.00001</f>
        <v>2.5002</v>
      </c>
      <c r="AO10" s="151">
        <f>VLOOKUP($B$5,'3 Correl Data Metro'!$A$5:$AH$210,Z$2)+AO7*0.00001</f>
        <v>4.50021</v>
      </c>
      <c r="AP10" s="151">
        <f>VLOOKUP($B$5,'3 Correl Data Metro'!$A$5:$AH$210,AA$2)+AP7*0.00001</f>
        <v>5.40022</v>
      </c>
      <c r="AQ10" s="151">
        <f>VLOOKUP($B$5,'3 Correl Data Metro'!$A$5:$AH$210,AB$2)+AQ7*0.00001</f>
        <v>3.80023</v>
      </c>
      <c r="AR10" s="151">
        <f>VLOOKUP($B$5,'3 Correl Data Metro'!$A$5:$AH$210,AC$2)+AR7*0.00001</f>
        <v>2.0002399999999998</v>
      </c>
      <c r="AS10" s="151">
        <f>VLOOKUP($B$5,'3 Correl Data Metro'!$A$5:$AH$210,AD$2)+AS7*0.00001</f>
        <v>4.3002500000000001</v>
      </c>
      <c r="AT10" s="151">
        <f>VLOOKUP($B$5,'3 Correl Data Metro'!$A$5:$AH$210,AE$2)+AT7*0.00001</f>
        <v>2.5002599999999999</v>
      </c>
      <c r="AU10" s="151">
        <f>VLOOKUP($B$5,'3 Correl Data Metro'!$A$5:$AH$210,AF$2)+AU7*0.00001</f>
        <v>4.6002700000000001</v>
      </c>
      <c r="AV10" s="151">
        <f>VLOOKUP($B$5,'3 Correl Data Metro'!$A$5:$AH$210,AG$2)+AV7*0.00001</f>
        <v>5.6002799999999997</v>
      </c>
      <c r="AW10" s="151">
        <f>VLOOKUP($B$5,'3 Correl Data Metro'!$A$5:$AH$210,AH$2)+AW7*0.00001</f>
        <v>5.7002899999999999</v>
      </c>
      <c r="AX10" s="151">
        <f>VLOOKUP($B$5,'3 Correl Data Metro'!$A$5:$AH$210,AI$2)+AX7*0.00001</f>
        <v>5.3003</v>
      </c>
      <c r="AY10" s="151">
        <f>VLOOKUP($B$5,'3 Correl Data Metro'!$A$5:$AH$210,AJ$2)+AY7*0.00001</f>
        <v>4.20031</v>
      </c>
      <c r="AZ10" s="145"/>
      <c r="BA10" s="145"/>
      <c r="BB10" s="145"/>
      <c r="BC10" s="145"/>
      <c r="BD10" s="145"/>
      <c r="BE10" s="145"/>
      <c r="BF10" s="145"/>
      <c r="BG10" s="145"/>
      <c r="BH10" s="145"/>
      <c r="BI10" s="145"/>
      <c r="BJ10" s="145"/>
      <c r="BK10" s="145"/>
      <c r="BL10" s="145"/>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c r="A11" s="426"/>
      <c r="B11" s="147"/>
      <c r="C11" s="147"/>
      <c r="D11" s="147"/>
      <c r="E11" s="147"/>
      <c r="F11" s="147"/>
      <c r="G11" s="147"/>
      <c r="H11" s="147"/>
      <c r="I11" s="227"/>
      <c r="J11" s="227"/>
      <c r="K11" s="228" t="str">
        <f>IF(LEN('3 Correl Data Metro'!B8)&gt;0,'3 Correl Data Metro'!B8,"")</f>
        <v/>
      </c>
      <c r="L11" s="140"/>
      <c r="M11" s="140"/>
      <c r="N11" s="140"/>
      <c r="O11" s="141"/>
      <c r="P11" s="140"/>
      <c r="Q11" s="145"/>
      <c r="R11" s="150" t="str">
        <f>C4</f>
        <v>Losses per adult: 2018/19</v>
      </c>
      <c r="S11" s="150"/>
      <c r="T11" s="150"/>
      <c r="U11" s="151">
        <f>VLOOKUP($B$4,'3 Correl Data Metro'!$A$5:$AH$210,F$2)+0.0001*U7</f>
        <v>566.48749440605229</v>
      </c>
      <c r="V11" s="151">
        <f>VLOOKUP($B$4,'3 Correl Data Metro'!$A$5:$AH$210,G$2)+0.0001*V7</f>
        <v>167.5006220061162</v>
      </c>
      <c r="W11" s="151">
        <f>VLOOKUP($B$4,'3 Correl Data Metro'!$A$5:$AH$210,H$2)+0.0001*W7</f>
        <v>142.59802776809573</v>
      </c>
      <c r="X11" s="151">
        <f>VLOOKUP($B$4,'3 Correl Data Metro'!$A$5:$AH$210,I$2)+0.0001*X7</f>
        <v>879.04137694057226</v>
      </c>
      <c r="Y11" s="151">
        <f>VLOOKUP($B$4,'3 Correl Data Metro'!$A$5:$AH$210,J$2)+0.0001*Y7</f>
        <v>355.53482289889558</v>
      </c>
      <c r="Z11" s="151">
        <f>VLOOKUP($B$4,'3 Correl Data Metro'!$A$5:$AH$210,K$2)+0.0001*Z7</f>
        <v>523.53132802625566</v>
      </c>
      <c r="AA11" s="151">
        <f>VLOOKUP($B$4,'3 Correl Data Metro'!$A$5:$AH$210,L$2)+0.0001*AA7</f>
        <v>620.43635653688</v>
      </c>
      <c r="AB11" s="151">
        <f>VLOOKUP($B$4,'3 Correl Data Metro'!$A$5:$AH$210,M$2)+0.0001*AB7</f>
        <v>561.63974684437187</v>
      </c>
      <c r="AC11" s="151">
        <f>VLOOKUP($B$4,'3 Correl Data Metro'!$A$5:$AH$210,N$2)+0.0001*AC7</f>
        <v>616.72593379850082</v>
      </c>
      <c r="AD11" s="151">
        <f>VLOOKUP($B$4,'3 Correl Data Metro'!$A$5:$AH$210,O$2)+0.0001*AD7</f>
        <v>909.71112870301329</v>
      </c>
      <c r="AE11" s="151">
        <f>VLOOKUP($B$4,'3 Correl Data Metro'!$A$5:$AH$210,P$2)+0.0001*AE7</f>
        <v>624.91103332272223</v>
      </c>
      <c r="AF11" s="151">
        <f>VLOOKUP($B$4,'3 Correl Data Metro'!$A$5:$AH$210,Q$2)+0.0001*AF7</f>
        <v>663.77803801816299</v>
      </c>
      <c r="AG11" s="151">
        <f>VLOOKUP($B$4,'3 Correl Data Metro'!$A$5:$AH$210,R$2)+0.0001*AG7</f>
        <v>663.16005641020536</v>
      </c>
      <c r="AH11" s="151">
        <f>VLOOKUP($B$4,'3 Correl Data Metro'!$A$5:$AH$210,S$2)+0.0001*AH7</f>
        <v>575.68618628725528</v>
      </c>
      <c r="AI11" s="151">
        <f>VLOOKUP($B$4,'3 Correl Data Metro'!$A$5:$AH$210,T$2)+0.0001*AI7</f>
        <v>555.69861007238808</v>
      </c>
      <c r="AJ11" s="151">
        <f>VLOOKUP($B$4,'3 Correl Data Metro'!$A$5:$AH$210,U$2)+0.0001*AJ7</f>
        <v>752.67327537479457</v>
      </c>
      <c r="AK11" s="151">
        <f>VLOOKUP($B$4,'3 Correl Data Metro'!$A$5:$AH$210,V$2)+0.0001*AK7</f>
        <v>685.56632022756673</v>
      </c>
      <c r="AL11" s="151">
        <f>VLOOKUP($B$4,'3 Correl Data Metro'!$A$5:$AH$210,W$2)+0.0001*AL7</f>
        <v>546.74099577930338</v>
      </c>
      <c r="AM11" s="151">
        <f>VLOOKUP($B$4,'3 Correl Data Metro'!$A$5:$AH$210,X$2)+0.0001*AM7</f>
        <v>575.98473788898173</v>
      </c>
      <c r="AN11" s="151">
        <f>VLOOKUP($B$4,'3 Correl Data Metro'!$A$5:$AH$210,Y$2)+0.0001*AN7</f>
        <v>685.909521218034</v>
      </c>
      <c r="AO11" s="151">
        <f>VLOOKUP($B$4,'3 Correl Data Metro'!$A$5:$AH$210,Z$2)+0.0001*AO7</f>
        <v>754.41613801427604</v>
      </c>
      <c r="AP11" s="151">
        <f>VLOOKUP($B$4,'3 Correl Data Metro'!$A$5:$AH$210,AA$2)+0.0001*AP7</f>
        <v>428.75601924834984</v>
      </c>
      <c r="AQ11" s="151">
        <f>VLOOKUP($B$4,'3 Correl Data Metro'!$A$5:$AH$210,AB$2)+0.0001*AQ7</f>
        <v>631.38916041720677</v>
      </c>
      <c r="AR11" s="151">
        <f>VLOOKUP($B$4,'3 Correl Data Metro'!$A$5:$AH$210,AC$2)+0.0001*AR7</f>
        <v>199.46569407266085</v>
      </c>
      <c r="AS11" s="151">
        <f>VLOOKUP($B$4,'3 Correl Data Metro'!$A$5:$AH$210,AD$2)+0.0001*AS7</f>
        <v>287.2895466471951</v>
      </c>
      <c r="AT11" s="151">
        <f>VLOOKUP($B$4,'3 Correl Data Metro'!$A$5:$AH$210,AE$2)+0.0001*AT7</f>
        <v>200.70489180926901</v>
      </c>
      <c r="AU11" s="151">
        <f>VLOOKUP($B$4,'3 Correl Data Metro'!$A$5:$AH$210,AF$2)+0.0001*AU7</f>
        <v>376.92848747920129</v>
      </c>
      <c r="AV11" s="151">
        <f>VLOOKUP($B$4,'3 Correl Data Metro'!$A$5:$AH$210,AG$2)+0.0001*AV7</f>
        <v>655.09427711588069</v>
      </c>
      <c r="AW11" s="151">
        <f>VLOOKUP($B$4,'3 Correl Data Metro'!$A$5:$AH$210,AH$2)+0.0001*AW7</f>
        <v>564.79501069450089</v>
      </c>
      <c r="AX11" s="151">
        <f>VLOOKUP($B$4,'3 Correl Data Metro'!$A$5:$AH$210,AI$2)+0.0001*AX7</f>
        <v>352.66672891334588</v>
      </c>
      <c r="AY11" s="151">
        <f>VLOOKUP($B$4,'3 Correl Data Metro'!$A$5:$AH$210,AJ$2)+0.0001*AY7</f>
        <v>239.73090768253059</v>
      </c>
      <c r="AZ11" s="145"/>
      <c r="BA11" s="145"/>
      <c r="BB11" s="145"/>
      <c r="BC11" s="145"/>
      <c r="BD11" s="145"/>
      <c r="BE11" s="145"/>
      <c r="BF11" s="145"/>
      <c r="BG11" s="145"/>
      <c r="BH11" s="145"/>
      <c r="BI11" s="145"/>
      <c r="BJ11" s="145"/>
      <c r="BK11" s="145"/>
      <c r="BL11" s="145"/>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c r="A12" s="426"/>
      <c r="B12" s="147"/>
      <c r="C12" s="147"/>
      <c r="D12" s="147"/>
      <c r="E12" s="147"/>
      <c r="F12" s="147"/>
      <c r="G12" s="147"/>
      <c r="H12" s="147"/>
      <c r="I12" s="227"/>
      <c r="J12" s="227"/>
      <c r="K12" s="228" t="str">
        <f>IF(LEN('3 Correl Data Metro'!B9)&gt;0,'3 Correl Data Metro'!B9,"")</f>
        <v/>
      </c>
      <c r="L12" s="140"/>
      <c r="M12" s="140"/>
      <c r="N12" s="140"/>
      <c r="O12" s="141"/>
      <c r="P12" s="140"/>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c r="A13" s="426"/>
      <c r="B13" s="147"/>
      <c r="C13" s="147"/>
      <c r="D13" s="147"/>
      <c r="E13" s="147"/>
      <c r="F13" s="147"/>
      <c r="G13" s="147"/>
      <c r="H13" s="147"/>
      <c r="I13" s="227"/>
      <c r="J13" s="227"/>
      <c r="K13" s="228" t="str">
        <f>IF(LEN('3 Correl Data Metro'!B10)&gt;0,'3 Correl Data Metro'!B10,"")</f>
        <v/>
      </c>
      <c r="L13" s="140"/>
      <c r="M13" s="140"/>
      <c r="N13" s="140"/>
      <c r="O13" s="141"/>
      <c r="P13" s="140"/>
      <c r="Q13" s="145"/>
      <c r="R13" s="145"/>
      <c r="S13" s="145"/>
      <c r="T13" s="146" t="s">
        <v>1365</v>
      </c>
      <c r="U13" s="143">
        <v>1</v>
      </c>
      <c r="V13" s="143">
        <v>2</v>
      </c>
      <c r="W13" s="143">
        <v>3</v>
      </c>
      <c r="X13" s="143">
        <v>4</v>
      </c>
      <c r="Y13" s="143">
        <v>5</v>
      </c>
      <c r="Z13" s="143">
        <v>6</v>
      </c>
      <c r="AA13" s="143">
        <v>7</v>
      </c>
      <c r="AB13" s="143">
        <v>8</v>
      </c>
      <c r="AC13" s="143">
        <v>9</v>
      </c>
      <c r="AD13" s="143">
        <v>10</v>
      </c>
      <c r="AE13" s="143">
        <v>11</v>
      </c>
      <c r="AF13" s="143">
        <v>12</v>
      </c>
      <c r="AG13" s="143">
        <v>13</v>
      </c>
      <c r="AH13" s="143">
        <v>14</v>
      </c>
      <c r="AI13" s="143">
        <v>15</v>
      </c>
      <c r="AJ13" s="143">
        <v>16</v>
      </c>
      <c r="AK13" s="143">
        <v>17</v>
      </c>
      <c r="AL13" s="143">
        <v>18</v>
      </c>
      <c r="AM13" s="143">
        <v>19</v>
      </c>
      <c r="AN13" s="143">
        <v>20</v>
      </c>
      <c r="AO13" s="143">
        <v>21</v>
      </c>
      <c r="AP13" s="143">
        <v>22</v>
      </c>
      <c r="AQ13" s="143">
        <v>23</v>
      </c>
      <c r="AR13" s="143">
        <v>24</v>
      </c>
      <c r="AS13" s="143">
        <v>25</v>
      </c>
      <c r="AT13" s="143">
        <v>26</v>
      </c>
      <c r="AU13" s="143">
        <v>27</v>
      </c>
      <c r="AV13" s="143">
        <v>28</v>
      </c>
      <c r="AW13" s="143">
        <v>29</v>
      </c>
      <c r="AX13" s="143">
        <v>30</v>
      </c>
      <c r="AY13" s="143">
        <v>31</v>
      </c>
      <c r="AZ13" s="145"/>
      <c r="BA13" s="145"/>
      <c r="BB13" s="145"/>
      <c r="BC13" s="145"/>
      <c r="BD13" s="145"/>
      <c r="BE13" s="145"/>
      <c r="BF13" s="145"/>
      <c r="BG13" s="145"/>
      <c r="BH13" s="145"/>
      <c r="BI13" s="145"/>
      <c r="BJ13" s="145"/>
      <c r="BK13" s="145"/>
      <c r="BL13" s="145"/>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c r="A14" s="426"/>
      <c r="B14" s="147"/>
      <c r="C14" s="147"/>
      <c r="D14" s="147"/>
      <c r="E14" s="147"/>
      <c r="F14" s="147"/>
      <c r="G14" s="147"/>
      <c r="H14" s="147"/>
      <c r="I14" s="227"/>
      <c r="J14" s="227"/>
      <c r="K14" s="228"/>
      <c r="L14" s="140"/>
      <c r="M14" s="140"/>
      <c r="N14" s="140"/>
      <c r="O14" s="141"/>
      <c r="P14" s="140"/>
      <c r="Q14" s="145"/>
      <c r="R14" s="145"/>
      <c r="S14" s="145"/>
      <c r="T14" s="145"/>
      <c r="U14" s="151">
        <f>HLOOKUP(MATCH(U$13,$U$8:$AY$8,0),$U$7:$AY$11,4)</f>
        <v>8.6000399999999999</v>
      </c>
      <c r="V14" s="151">
        <f t="shared" ref="V14:AY14" si="1">HLOOKUP(MATCH(V$13,$U$8:$AY$8,0),$U$7:$AY$11,4)</f>
        <v>7.8001199999999997</v>
      </c>
      <c r="W14" s="151">
        <f t="shared" si="1"/>
        <v>7.7000999999999999</v>
      </c>
      <c r="X14" s="151">
        <f t="shared" si="1"/>
        <v>6.7001900000000001</v>
      </c>
      <c r="Y14" s="151">
        <f t="shared" si="1"/>
        <v>5.7002899999999999</v>
      </c>
      <c r="Z14" s="151">
        <f t="shared" si="1"/>
        <v>5.6002799999999997</v>
      </c>
      <c r="AA14" s="151">
        <f t="shared" si="1"/>
        <v>5.40022</v>
      </c>
      <c r="AB14" s="151">
        <f t="shared" si="1"/>
        <v>5.40008</v>
      </c>
      <c r="AC14" s="151">
        <f t="shared" si="1"/>
        <v>5.4000700000000004</v>
      </c>
      <c r="AD14" s="151">
        <f t="shared" si="1"/>
        <v>5.4000600000000007</v>
      </c>
      <c r="AE14" s="151">
        <f t="shared" si="1"/>
        <v>5.3003</v>
      </c>
      <c r="AF14" s="151">
        <f t="shared" si="1"/>
        <v>5.2001600000000003</v>
      </c>
      <c r="AG14" s="151">
        <f t="shared" si="1"/>
        <v>5.0000499999999999</v>
      </c>
      <c r="AH14" s="151">
        <f t="shared" si="1"/>
        <v>4.6002700000000001</v>
      </c>
      <c r="AI14" s="151">
        <f t="shared" si="1"/>
        <v>4.50021</v>
      </c>
      <c r="AJ14" s="151">
        <f>HLOOKUP(MATCH(AJ$13,$U$8:$AY$8,0),$U$7:$AY$11,4)</f>
        <v>4.40015</v>
      </c>
      <c r="AK14" s="151">
        <f t="shared" si="1"/>
        <v>4.4001300000000008</v>
      </c>
      <c r="AL14" s="151">
        <f t="shared" si="1"/>
        <v>4.3002500000000001</v>
      </c>
      <c r="AM14" s="151">
        <f t="shared" si="1"/>
        <v>4.3001100000000001</v>
      </c>
      <c r="AN14" s="151">
        <f t="shared" si="1"/>
        <v>4.20031</v>
      </c>
      <c r="AO14" s="151">
        <f t="shared" si="1"/>
        <v>4.1001699999999994</v>
      </c>
      <c r="AP14" s="151">
        <f t="shared" si="1"/>
        <v>3.80023</v>
      </c>
      <c r="AQ14" s="151">
        <f t="shared" si="1"/>
        <v>3.8001399999999999</v>
      </c>
      <c r="AR14" s="151">
        <f t="shared" si="1"/>
        <v>3.70018</v>
      </c>
      <c r="AS14" s="151">
        <f t="shared" si="1"/>
        <v>3.5000100000000001</v>
      </c>
      <c r="AT14" s="151">
        <f t="shared" si="1"/>
        <v>3.1000900000000002</v>
      </c>
      <c r="AU14" s="151">
        <f t="shared" si="1"/>
        <v>2.9000300000000001</v>
      </c>
      <c r="AV14" s="151">
        <f t="shared" si="1"/>
        <v>2.80002</v>
      </c>
      <c r="AW14" s="151">
        <f t="shared" si="1"/>
        <v>2.5002599999999999</v>
      </c>
      <c r="AX14" s="151">
        <f t="shared" si="1"/>
        <v>2.5002</v>
      </c>
      <c r="AY14" s="151">
        <f t="shared" si="1"/>
        <v>2.0002399999999998</v>
      </c>
      <c r="AZ14" s="145"/>
      <c r="BA14" s="145"/>
      <c r="BB14" s="145"/>
      <c r="BC14" s="145"/>
      <c r="BD14" s="145"/>
      <c r="BE14" s="145"/>
      <c r="BF14" s="145"/>
      <c r="BG14" s="145"/>
      <c r="BH14" s="145"/>
      <c r="BI14" s="145"/>
      <c r="BJ14" s="145"/>
      <c r="BK14" s="145"/>
      <c r="BL14" s="145"/>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c r="A15" s="426"/>
      <c r="B15" s="147"/>
      <c r="C15" s="147"/>
      <c r="D15" s="147"/>
      <c r="E15" s="147"/>
      <c r="F15" s="147"/>
      <c r="G15" s="147"/>
      <c r="H15" s="147"/>
      <c r="I15" s="227"/>
      <c r="J15" s="227"/>
      <c r="K15" s="228" t="str">
        <f>IF(LEN('3 Correl Data Metro'!B11)&gt;0,'3 Correl Data Metro'!B11,"")</f>
        <v/>
      </c>
      <c r="L15" s="140"/>
      <c r="M15" s="140"/>
      <c r="N15" s="140"/>
      <c r="O15" s="141"/>
      <c r="P15" s="140"/>
      <c r="Q15" s="145"/>
      <c r="R15" s="145"/>
      <c r="S15" s="145"/>
      <c r="T15" s="145"/>
      <c r="U15" s="151">
        <f>HLOOKUP(MATCH(U$13,$U$8:$AY$8,0),$U$7:$AY$11,5)</f>
        <v>879.04137694057226</v>
      </c>
      <c r="V15" s="151">
        <f t="shared" ref="V15:AY15" si="2">HLOOKUP(MATCH(V$13,$U$8:$AY$8,0),$U$7:$AY$11,5)</f>
        <v>663.77803801816299</v>
      </c>
      <c r="W15" s="151">
        <f t="shared" si="2"/>
        <v>909.71112870301329</v>
      </c>
      <c r="X15" s="151">
        <f t="shared" si="2"/>
        <v>575.98473788898173</v>
      </c>
      <c r="Y15" s="151">
        <f t="shared" si="2"/>
        <v>564.79501069450089</v>
      </c>
      <c r="Z15" s="151">
        <f t="shared" si="2"/>
        <v>655.09427711588069</v>
      </c>
      <c r="AA15" s="151">
        <f t="shared" si="2"/>
        <v>428.75601924834984</v>
      </c>
      <c r="AB15" s="151">
        <f t="shared" si="2"/>
        <v>561.63974684437187</v>
      </c>
      <c r="AC15" s="151">
        <f t="shared" si="2"/>
        <v>620.43635653688</v>
      </c>
      <c r="AD15" s="151">
        <f t="shared" si="2"/>
        <v>523.53132802625566</v>
      </c>
      <c r="AE15" s="151">
        <f t="shared" si="2"/>
        <v>352.66672891334588</v>
      </c>
      <c r="AF15" s="151">
        <f t="shared" si="2"/>
        <v>752.67327537479457</v>
      </c>
      <c r="AG15" s="151">
        <f t="shared" si="2"/>
        <v>355.53482289889558</v>
      </c>
      <c r="AH15" s="151">
        <f t="shared" si="2"/>
        <v>376.92848747920129</v>
      </c>
      <c r="AI15" s="151">
        <f t="shared" si="2"/>
        <v>754.41613801427604</v>
      </c>
      <c r="AJ15" s="151">
        <f t="shared" si="2"/>
        <v>555.69861007238808</v>
      </c>
      <c r="AK15" s="151">
        <f t="shared" si="2"/>
        <v>663.16005641020536</v>
      </c>
      <c r="AL15" s="151">
        <f t="shared" si="2"/>
        <v>287.2895466471951</v>
      </c>
      <c r="AM15" s="151">
        <f t="shared" si="2"/>
        <v>624.91103332272223</v>
      </c>
      <c r="AN15" s="151">
        <f t="shared" si="2"/>
        <v>239.73090768253059</v>
      </c>
      <c r="AO15" s="151">
        <f t="shared" si="2"/>
        <v>685.56632022756673</v>
      </c>
      <c r="AP15" s="151">
        <f t="shared" si="2"/>
        <v>631.38916041720677</v>
      </c>
      <c r="AQ15" s="151">
        <f t="shared" si="2"/>
        <v>575.68618628725528</v>
      </c>
      <c r="AR15" s="151">
        <f t="shared" si="2"/>
        <v>546.74099577930338</v>
      </c>
      <c r="AS15" s="151">
        <f t="shared" si="2"/>
        <v>566.48749440605229</v>
      </c>
      <c r="AT15" s="151">
        <f t="shared" si="2"/>
        <v>616.72593379850082</v>
      </c>
      <c r="AU15" s="151">
        <f t="shared" si="2"/>
        <v>142.59802776809573</v>
      </c>
      <c r="AV15" s="151">
        <f t="shared" si="2"/>
        <v>167.5006220061162</v>
      </c>
      <c r="AW15" s="151">
        <f t="shared" si="2"/>
        <v>200.70489180926901</v>
      </c>
      <c r="AX15" s="151">
        <f t="shared" si="2"/>
        <v>685.909521218034</v>
      </c>
      <c r="AY15" s="151">
        <f t="shared" si="2"/>
        <v>199.46569407266085</v>
      </c>
      <c r="AZ15" s="145"/>
      <c r="BA15" s="145"/>
      <c r="BB15" s="145"/>
      <c r="BC15" s="145"/>
      <c r="BD15" s="145"/>
      <c r="BE15" s="145"/>
      <c r="BF15" s="145"/>
      <c r="BG15" s="145"/>
      <c r="BH15" s="145"/>
      <c r="BI15" s="145"/>
      <c r="BJ15" s="145"/>
      <c r="BK15" s="145"/>
      <c r="BL15" s="145"/>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c r="A16" s="426"/>
      <c r="B16" s="147"/>
      <c r="C16" s="147"/>
      <c r="D16" s="147"/>
      <c r="E16" s="147"/>
      <c r="F16" s="147"/>
      <c r="G16" s="147"/>
      <c r="H16" s="147"/>
      <c r="I16" s="227"/>
      <c r="J16" s="227"/>
      <c r="K16" s="228" t="str">
        <f>IF(LEN('3 Correl Data Metro'!B12)&gt;0,'3 Correl Data Metro'!B12,"")</f>
        <v/>
      </c>
      <c r="L16" s="140"/>
      <c r="M16" s="140"/>
      <c r="N16" s="140"/>
      <c r="O16" s="141"/>
      <c r="P16" s="140"/>
      <c r="Q16" s="145"/>
      <c r="R16" s="145"/>
      <c r="S16" s="145"/>
      <c r="T16" s="145"/>
      <c r="U16" s="152" t="str">
        <f>HLOOKUP(MATCH(U$13,$U$8:$AY$8,0),$U$7:$AY$11,3)</f>
        <v xml:space="preserve">Brimbank </v>
      </c>
      <c r="V16" s="152" t="str">
        <f t="shared" ref="V16:AY16" si="3">HLOOKUP(MATCH(V$13,$U$8:$AY$8,0),$U$7:$AY$11,3)</f>
        <v xml:space="preserve">Hume </v>
      </c>
      <c r="W16" s="152" t="str">
        <f t="shared" si="3"/>
        <v xml:space="preserve">Greater Dandenong </v>
      </c>
      <c r="X16" s="152" t="str">
        <f t="shared" si="3"/>
        <v>Melton</v>
      </c>
      <c r="Y16" s="152" t="str">
        <f t="shared" si="3"/>
        <v xml:space="preserve">Wyndham </v>
      </c>
      <c r="Z16" s="152" t="str">
        <f t="shared" si="3"/>
        <v xml:space="preserve">Whittlesea </v>
      </c>
      <c r="AA16" s="152" t="str">
        <f t="shared" si="3"/>
        <v xml:space="preserve">Moreland </v>
      </c>
      <c r="AB16" s="152" t="str">
        <f t="shared" si="3"/>
        <v xml:space="preserve">Frankston </v>
      </c>
      <c r="AC16" s="152" t="str">
        <f t="shared" si="3"/>
        <v xml:space="preserve">Darebin </v>
      </c>
      <c r="AD16" s="152" t="str">
        <f t="shared" si="3"/>
        <v xml:space="preserve">Casey </v>
      </c>
      <c r="AE16" s="152" t="str">
        <f t="shared" si="3"/>
        <v xml:space="preserve">Yarra </v>
      </c>
      <c r="AF16" s="152" t="str">
        <f t="shared" si="3"/>
        <v xml:space="preserve">Maribyrnong </v>
      </c>
      <c r="AG16" s="152" t="str">
        <f t="shared" si="3"/>
        <v>Cardinia</v>
      </c>
      <c r="AH16" s="152" t="str">
        <f t="shared" si="3"/>
        <v xml:space="preserve">Whitehorse </v>
      </c>
      <c r="AI16" s="152" t="str">
        <f t="shared" si="3"/>
        <v xml:space="preserve">Moonee Valley </v>
      </c>
      <c r="AJ16" s="152" t="str">
        <f t="shared" si="3"/>
        <v xml:space="preserve">Manningham </v>
      </c>
      <c r="AK16" s="152" t="str">
        <f t="shared" si="3"/>
        <v xml:space="preserve">Kingston </v>
      </c>
      <c r="AL16" s="152" t="str">
        <f t="shared" si="3"/>
        <v xml:space="preserve">Port Phillip </v>
      </c>
      <c r="AM16" s="152" t="str">
        <f t="shared" si="3"/>
        <v>Hobsons Bay</v>
      </c>
      <c r="AN16" s="152" t="str">
        <f t="shared" si="3"/>
        <v>Yarra Ranges</v>
      </c>
      <c r="AO16" s="152" t="str">
        <f t="shared" si="3"/>
        <v xml:space="preserve">Maroondah </v>
      </c>
      <c r="AP16" s="152" t="str">
        <f t="shared" si="3"/>
        <v>Mornington Pen.</v>
      </c>
      <c r="AQ16" s="152" t="str">
        <f t="shared" si="3"/>
        <v xml:space="preserve">Knox </v>
      </c>
      <c r="AR16" s="152" t="str">
        <f t="shared" si="3"/>
        <v xml:space="preserve">Melbourne </v>
      </c>
      <c r="AS16" s="152" t="str">
        <f t="shared" si="3"/>
        <v xml:space="preserve">Banyule </v>
      </c>
      <c r="AT16" s="152" t="str">
        <f t="shared" si="3"/>
        <v xml:space="preserve">Glen Eira </v>
      </c>
      <c r="AU16" s="152" t="str">
        <f t="shared" si="3"/>
        <v xml:space="preserve">Boroondara </v>
      </c>
      <c r="AV16" s="152" t="str">
        <f t="shared" si="3"/>
        <v xml:space="preserve">Bayside </v>
      </c>
      <c r="AW16" s="152" t="str">
        <f t="shared" si="3"/>
        <v xml:space="preserve">Stonnington </v>
      </c>
      <c r="AX16" s="152" t="str">
        <f t="shared" si="3"/>
        <v xml:space="preserve">Monash </v>
      </c>
      <c r="AY16" s="152" t="str">
        <f t="shared" si="3"/>
        <v>Nillumbik</v>
      </c>
      <c r="AZ16" s="145"/>
      <c r="BA16" s="145"/>
      <c r="BB16" s="145"/>
      <c r="BC16" s="145"/>
      <c r="BD16" s="145"/>
      <c r="BE16" s="145"/>
      <c r="BF16" s="145"/>
      <c r="BG16" s="145"/>
      <c r="BH16" s="145"/>
      <c r="BI16" s="145"/>
      <c r="BJ16" s="145"/>
      <c r="BK16" s="145"/>
      <c r="BL16" s="145"/>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c r="A17" s="426"/>
      <c r="B17" s="147"/>
      <c r="C17" s="147"/>
      <c r="D17" s="147"/>
      <c r="E17" s="147"/>
      <c r="F17" s="147"/>
      <c r="G17" s="147"/>
      <c r="H17" s="147"/>
      <c r="I17" s="227"/>
      <c r="J17" s="227"/>
      <c r="K17" s="228" t="str">
        <f>IF(LEN('3 Correl Data Metro'!B13)&gt;0,'3 Correl Data Metro'!B13,"")</f>
        <v/>
      </c>
      <c r="L17" s="140"/>
      <c r="M17" s="140"/>
      <c r="N17" s="140"/>
      <c r="O17" s="141"/>
      <c r="P17" s="140"/>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c r="A18" s="426"/>
      <c r="B18" s="147"/>
      <c r="C18" s="147"/>
      <c r="D18" s="147"/>
      <c r="E18" s="147"/>
      <c r="F18" s="147"/>
      <c r="G18" s="147"/>
      <c r="H18" s="147"/>
      <c r="I18" s="227"/>
      <c r="J18" s="227"/>
      <c r="K18" s="228" t="str">
        <f>IF(LEN('3 Correl Data Metro'!B14)&gt;0,'3 Correl Data Metro'!B14,"")</f>
        <v/>
      </c>
      <c r="L18" s="140"/>
      <c r="M18" s="140"/>
      <c r="N18" s="140"/>
      <c r="O18" s="141"/>
      <c r="P18" s="140"/>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c r="A19" s="426"/>
      <c r="B19" s="147"/>
      <c r="C19" s="147"/>
      <c r="D19" s="147"/>
      <c r="E19" s="147"/>
      <c r="F19" s="147"/>
      <c r="G19" s="147"/>
      <c r="H19" s="147"/>
      <c r="I19" s="227"/>
      <c r="J19" s="227"/>
      <c r="K19" s="228" t="str">
        <f>IF(LEN('3 Correl Data Metro'!B15)&gt;0,'3 Correl Data Metro'!B15,"")</f>
        <v/>
      </c>
      <c r="L19" s="140"/>
      <c r="M19" s="140"/>
      <c r="N19" s="140"/>
      <c r="O19" s="141"/>
      <c r="P19" s="140"/>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c r="A20" s="426"/>
      <c r="B20" s="147"/>
      <c r="C20" s="147"/>
      <c r="D20" s="147"/>
      <c r="E20" s="147"/>
      <c r="F20" s="147"/>
      <c r="G20" s="147"/>
      <c r="H20" s="147"/>
      <c r="I20" s="227"/>
      <c r="J20" s="227"/>
      <c r="K20" s="228" t="str">
        <f>IF(LEN('3 Correl Data Metro'!B16)&gt;0,'3 Correl Data Metro'!B16,"")</f>
        <v/>
      </c>
      <c r="L20" s="140"/>
      <c r="M20" s="140"/>
      <c r="N20" s="140"/>
      <c r="O20" s="141"/>
      <c r="P20" s="140"/>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c r="A21" s="426"/>
      <c r="B21" s="147"/>
      <c r="C21" s="147"/>
      <c r="D21" s="147"/>
      <c r="E21" s="147"/>
      <c r="F21" s="147"/>
      <c r="G21" s="147"/>
      <c r="H21" s="147"/>
      <c r="I21" s="227"/>
      <c r="J21" s="227"/>
      <c r="K21" s="228" t="str">
        <f>IF(LEN('3 Correl Data Metro'!B17)&gt;0,'3 Correl Data Metro'!B17,"")</f>
        <v/>
      </c>
      <c r="L21" s="140"/>
      <c r="M21" s="140"/>
      <c r="N21" s="140"/>
      <c r="O21" s="141"/>
      <c r="P21" s="140"/>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c r="A22" s="426"/>
      <c r="B22" s="147"/>
      <c r="C22" s="147"/>
      <c r="D22" s="147"/>
      <c r="E22" s="147"/>
      <c r="F22" s="147"/>
      <c r="G22" s="147"/>
      <c r="H22" s="147"/>
      <c r="I22" s="227"/>
      <c r="J22" s="227"/>
      <c r="K22" s="228" t="str">
        <f>IF(LEN('3 Correl Data Metro'!B18)&gt;0,'3 Correl Data Metro'!B18,"")</f>
        <v/>
      </c>
      <c r="L22" s="140"/>
      <c r="M22" s="140"/>
      <c r="N22" s="140"/>
      <c r="O22" s="141"/>
      <c r="P22" s="140"/>
      <c r="Q22" s="145"/>
      <c r="R22" s="145"/>
      <c r="S22" s="145"/>
      <c r="T22" s="146" t="s">
        <v>1366</v>
      </c>
      <c r="U22" s="146"/>
      <c r="V22" s="146"/>
      <c r="W22" s="146"/>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c r="A23" s="426"/>
      <c r="B23" s="147"/>
      <c r="C23" s="147"/>
      <c r="D23" s="147"/>
      <c r="E23" s="147"/>
      <c r="F23" s="147"/>
      <c r="G23" s="147"/>
      <c r="H23" s="147"/>
      <c r="I23" s="227"/>
      <c r="J23" s="227"/>
      <c r="K23" s="228" t="str">
        <f>IF(LEN('3 Correl Data Metro'!B19)&gt;0,'3 Correl Data Metro'!B19,"")</f>
        <v/>
      </c>
      <c r="L23" s="140"/>
      <c r="M23" s="140"/>
      <c r="N23" s="140"/>
      <c r="O23" s="141"/>
      <c r="P23" s="140"/>
      <c r="Q23" s="145"/>
      <c r="R23" s="145"/>
      <c r="S23" s="145"/>
      <c r="T23" s="145"/>
      <c r="U23" s="145" t="str">
        <f>F3</f>
        <v xml:space="preserve">Banyule </v>
      </c>
      <c r="V23" s="145" t="str">
        <f t="shared" ref="V23:AK25" si="4">G3</f>
        <v xml:space="preserve">Bayside </v>
      </c>
      <c r="W23" s="145" t="str">
        <f t="shared" si="4"/>
        <v xml:space="preserve">Boroondara </v>
      </c>
      <c r="X23" s="145" t="str">
        <f t="shared" si="4"/>
        <v xml:space="preserve">Brimbank </v>
      </c>
      <c r="Y23" s="145" t="str">
        <f t="shared" si="4"/>
        <v>Cardinia</v>
      </c>
      <c r="Z23" s="145" t="str">
        <f t="shared" si="4"/>
        <v xml:space="preserve">Casey </v>
      </c>
      <c r="AA23" s="145" t="str">
        <f t="shared" si="4"/>
        <v xml:space="preserve">Darebin </v>
      </c>
      <c r="AB23" s="145" t="str">
        <f t="shared" si="4"/>
        <v xml:space="preserve">Frankston </v>
      </c>
      <c r="AC23" s="145" t="str">
        <f t="shared" si="4"/>
        <v xml:space="preserve">Glen Eira </v>
      </c>
      <c r="AD23" s="145" t="str">
        <f t="shared" si="4"/>
        <v xml:space="preserve">Greater Dandenong </v>
      </c>
      <c r="AE23" s="145" t="str">
        <f t="shared" si="4"/>
        <v>Hobsons Bay (S)</v>
      </c>
      <c r="AF23" s="145" t="str">
        <f t="shared" si="4"/>
        <v xml:space="preserve">Hume </v>
      </c>
      <c r="AG23" s="145" t="str">
        <f t="shared" si="4"/>
        <v xml:space="preserve">Kingston </v>
      </c>
      <c r="AH23" s="145" t="str">
        <f t="shared" si="4"/>
        <v xml:space="preserve">Knox </v>
      </c>
      <c r="AI23" s="145" t="str">
        <f t="shared" si="4"/>
        <v xml:space="preserve">Manningham </v>
      </c>
      <c r="AJ23" s="145" t="str">
        <f t="shared" si="4"/>
        <v xml:space="preserve">Maribyrnong </v>
      </c>
      <c r="AK23" s="145" t="str">
        <f t="shared" si="4"/>
        <v xml:space="preserve">Maroondah </v>
      </c>
      <c r="AL23" s="145" t="str">
        <f t="shared" ref="AL23:AY25" si="5">W3</f>
        <v xml:space="preserve">Melbourne </v>
      </c>
      <c r="AM23" s="145" t="str">
        <f t="shared" si="5"/>
        <v>Melton</v>
      </c>
      <c r="AN23" s="145" t="str">
        <f t="shared" si="5"/>
        <v xml:space="preserve">Monash </v>
      </c>
      <c r="AO23" s="145" t="str">
        <f t="shared" si="5"/>
        <v xml:space="preserve">Moonee Valley </v>
      </c>
      <c r="AP23" s="145" t="str">
        <f t="shared" si="5"/>
        <v xml:space="preserve">Moreland </v>
      </c>
      <c r="AQ23" s="145" t="str">
        <f t="shared" si="5"/>
        <v>Mornington Pen.</v>
      </c>
      <c r="AR23" s="145" t="str">
        <f t="shared" si="5"/>
        <v>Nillumbik</v>
      </c>
      <c r="AS23" s="145" t="str">
        <f t="shared" si="5"/>
        <v xml:space="preserve">Port Phillip </v>
      </c>
      <c r="AT23" s="145" t="str">
        <f t="shared" si="5"/>
        <v xml:space="preserve">Stonnington </v>
      </c>
      <c r="AU23" s="145" t="str">
        <f t="shared" si="5"/>
        <v xml:space="preserve">Whitehorse </v>
      </c>
      <c r="AV23" s="145" t="str">
        <f t="shared" si="5"/>
        <v xml:space="preserve">Whittlesea </v>
      </c>
      <c r="AW23" s="145" t="str">
        <f t="shared" si="5"/>
        <v xml:space="preserve">Wyndham </v>
      </c>
      <c r="AX23" s="145" t="str">
        <f t="shared" si="5"/>
        <v xml:space="preserve">Yarra </v>
      </c>
      <c r="AY23" s="145" t="str">
        <f>AJ3</f>
        <v>Yarra Ranges (S)</v>
      </c>
      <c r="AZ23" s="145"/>
      <c r="BA23" s="145"/>
      <c r="BB23" s="153" t="s">
        <v>1367</v>
      </c>
      <c r="BC23" s="154">
        <f>COLUMNS(U23:AY23)</f>
        <v>31</v>
      </c>
      <c r="BD23" s="145"/>
      <c r="BE23" s="145"/>
      <c r="BF23" s="145"/>
      <c r="BG23" s="145"/>
      <c r="BH23" s="145"/>
      <c r="BI23" s="145"/>
      <c r="BJ23" s="145"/>
      <c r="BK23" s="145"/>
      <c r="BL23" s="145"/>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c r="A24" s="426"/>
      <c r="B24" s="147"/>
      <c r="C24" s="147"/>
      <c r="D24" s="147"/>
      <c r="E24" s="147"/>
      <c r="F24" s="147"/>
      <c r="G24" s="147"/>
      <c r="H24" s="147"/>
      <c r="I24" s="227"/>
      <c r="J24" s="227"/>
      <c r="K24" s="228" t="str">
        <f>IF(LEN('3 Correl Data Metro'!B20)&gt;0,'3 Correl Data Metro'!B20,"")</f>
        <v/>
      </c>
      <c r="L24" s="140"/>
      <c r="M24" s="140"/>
      <c r="N24" s="140"/>
      <c r="O24" s="141"/>
      <c r="P24" s="140"/>
      <c r="Q24" s="145"/>
      <c r="R24" s="145"/>
      <c r="S24" s="145"/>
      <c r="T24" s="145"/>
      <c r="U24" s="145">
        <f>F4</f>
        <v>3.5</v>
      </c>
      <c r="V24" s="145">
        <f t="shared" si="4"/>
        <v>2.8</v>
      </c>
      <c r="W24" s="145">
        <f t="shared" si="4"/>
        <v>2.9</v>
      </c>
      <c r="X24" s="145">
        <f t="shared" si="4"/>
        <v>8.6</v>
      </c>
      <c r="Y24" s="145">
        <f t="shared" si="4"/>
        <v>5</v>
      </c>
      <c r="Z24" s="145">
        <f t="shared" si="4"/>
        <v>5.4</v>
      </c>
      <c r="AA24" s="145">
        <f t="shared" si="4"/>
        <v>5.4</v>
      </c>
      <c r="AB24" s="145">
        <f t="shared" si="4"/>
        <v>5.4</v>
      </c>
      <c r="AC24" s="145">
        <f t="shared" si="4"/>
        <v>3.1</v>
      </c>
      <c r="AD24" s="145">
        <f t="shared" si="4"/>
        <v>7.7</v>
      </c>
      <c r="AE24" s="145">
        <f t="shared" si="4"/>
        <v>4.3</v>
      </c>
      <c r="AF24" s="145">
        <f t="shared" si="4"/>
        <v>7.8</v>
      </c>
      <c r="AG24" s="145">
        <f t="shared" si="4"/>
        <v>4.4000000000000004</v>
      </c>
      <c r="AH24" s="145">
        <f t="shared" si="4"/>
        <v>3.8</v>
      </c>
      <c r="AI24" s="145">
        <f t="shared" si="4"/>
        <v>4.4000000000000004</v>
      </c>
      <c r="AJ24" s="145">
        <f t="shared" si="4"/>
        <v>5.2</v>
      </c>
      <c r="AK24" s="145">
        <f t="shared" si="4"/>
        <v>4.0999999999999996</v>
      </c>
      <c r="AL24" s="145">
        <f t="shared" si="5"/>
        <v>3.7</v>
      </c>
      <c r="AM24" s="145">
        <f t="shared" si="5"/>
        <v>6.7</v>
      </c>
      <c r="AN24" s="145">
        <f t="shared" si="5"/>
        <v>2.5</v>
      </c>
      <c r="AO24" s="145">
        <f t="shared" si="5"/>
        <v>4.5</v>
      </c>
      <c r="AP24" s="145">
        <f t="shared" si="5"/>
        <v>5.4</v>
      </c>
      <c r="AQ24" s="145">
        <f t="shared" si="5"/>
        <v>3.8</v>
      </c>
      <c r="AR24" s="145">
        <f t="shared" si="5"/>
        <v>2</v>
      </c>
      <c r="AS24" s="145">
        <f t="shared" si="5"/>
        <v>4.3</v>
      </c>
      <c r="AT24" s="145">
        <f t="shared" si="5"/>
        <v>2.5</v>
      </c>
      <c r="AU24" s="145">
        <f t="shared" si="5"/>
        <v>4.5999999999999996</v>
      </c>
      <c r="AV24" s="145">
        <f t="shared" si="5"/>
        <v>5.6</v>
      </c>
      <c r="AW24" s="145">
        <f t="shared" si="5"/>
        <v>5.7</v>
      </c>
      <c r="AX24" s="145">
        <f t="shared" si="5"/>
        <v>5.3</v>
      </c>
      <c r="AY24" s="145">
        <f t="shared" si="5"/>
        <v>4.2</v>
      </c>
      <c r="AZ24" s="145"/>
      <c r="BA24" s="146" t="s">
        <v>1368</v>
      </c>
      <c r="BB24" s="153" t="s">
        <v>1369</v>
      </c>
      <c r="BC24" s="154">
        <f>SUM(U24:AY24)</f>
        <v>144.6</v>
      </c>
      <c r="BD24" s="145"/>
      <c r="BE24" s="145"/>
      <c r="BF24" s="145"/>
      <c r="BG24" s="145"/>
      <c r="BH24" s="145"/>
      <c r="BI24" s="145"/>
      <c r="BJ24" s="145"/>
      <c r="BK24" s="145"/>
      <c r="BL24" s="145"/>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c r="A25" s="426"/>
      <c r="B25" s="147"/>
      <c r="C25" s="147"/>
      <c r="D25" s="147"/>
      <c r="E25" s="147"/>
      <c r="F25" s="147"/>
      <c r="G25" s="147"/>
      <c r="H25" s="147"/>
      <c r="I25" s="227"/>
      <c r="J25" s="227"/>
      <c r="K25" s="228" t="str">
        <f>IF(LEN('3 Correl Data Metro'!B21)&gt;0,'3 Correl Data Metro'!B21,"")</f>
        <v/>
      </c>
      <c r="L25" s="140"/>
      <c r="M25" s="140"/>
      <c r="N25" s="140"/>
      <c r="O25" s="141"/>
      <c r="P25" s="140"/>
      <c r="Q25" s="145"/>
      <c r="R25" s="145"/>
      <c r="S25" s="145"/>
      <c r="T25" s="145"/>
      <c r="U25" s="145">
        <f>F5</f>
        <v>566.48739440605232</v>
      </c>
      <c r="V25" s="145">
        <f t="shared" si="4"/>
        <v>167.5004220061162</v>
      </c>
      <c r="W25" s="145">
        <f t="shared" si="4"/>
        <v>142.59772776809572</v>
      </c>
      <c r="X25" s="145">
        <f t="shared" si="4"/>
        <v>879.04097694057225</v>
      </c>
      <c r="Y25" s="145">
        <f t="shared" si="4"/>
        <v>355.5343228988956</v>
      </c>
      <c r="Z25" s="145">
        <f t="shared" si="4"/>
        <v>523.5307280262557</v>
      </c>
      <c r="AA25" s="145">
        <f t="shared" si="4"/>
        <v>620.43565653687995</v>
      </c>
      <c r="AB25" s="145">
        <f t="shared" si="4"/>
        <v>561.63894684437184</v>
      </c>
      <c r="AC25" s="145">
        <f t="shared" si="4"/>
        <v>616.72503379850082</v>
      </c>
      <c r="AD25" s="145">
        <f t="shared" si="4"/>
        <v>909.71012870301331</v>
      </c>
      <c r="AE25" s="145">
        <f t="shared" si="4"/>
        <v>624.90993332272228</v>
      </c>
      <c r="AF25" s="145">
        <f t="shared" si="4"/>
        <v>663.77683801816295</v>
      </c>
      <c r="AG25" s="145">
        <f t="shared" si="4"/>
        <v>663.15875641020534</v>
      </c>
      <c r="AH25" s="145">
        <f t="shared" si="4"/>
        <v>575.68478628725529</v>
      </c>
      <c r="AI25" s="145">
        <f t="shared" si="4"/>
        <v>555.69711007238811</v>
      </c>
      <c r="AJ25" s="145">
        <f t="shared" si="4"/>
        <v>752.67167537479452</v>
      </c>
      <c r="AK25" s="145">
        <f t="shared" si="4"/>
        <v>685.56462022756671</v>
      </c>
      <c r="AL25" s="145">
        <f t="shared" si="5"/>
        <v>546.73919577930337</v>
      </c>
      <c r="AM25" s="145">
        <f t="shared" si="5"/>
        <v>575.98283788898175</v>
      </c>
      <c r="AN25" s="145">
        <f t="shared" si="5"/>
        <v>685.90752121803405</v>
      </c>
      <c r="AO25" s="145">
        <f t="shared" si="5"/>
        <v>754.414038014276</v>
      </c>
      <c r="AP25" s="145">
        <f t="shared" si="5"/>
        <v>428.75381924834983</v>
      </c>
      <c r="AQ25" s="145">
        <f t="shared" si="5"/>
        <v>631.38686041720678</v>
      </c>
      <c r="AR25" s="145">
        <f t="shared" si="5"/>
        <v>199.46329407266086</v>
      </c>
      <c r="AS25" s="145">
        <f t="shared" si="5"/>
        <v>287.2870466471951</v>
      </c>
      <c r="AT25" s="145">
        <f t="shared" si="5"/>
        <v>200.70229180926901</v>
      </c>
      <c r="AU25" s="145">
        <f t="shared" si="5"/>
        <v>376.92578747920129</v>
      </c>
      <c r="AV25" s="145">
        <f t="shared" si="5"/>
        <v>655.09147711588071</v>
      </c>
      <c r="AW25" s="145">
        <f t="shared" si="5"/>
        <v>564.79211069450093</v>
      </c>
      <c r="AX25" s="145">
        <f t="shared" si="5"/>
        <v>352.66372891334589</v>
      </c>
      <c r="AY25" s="145">
        <f t="shared" si="5"/>
        <v>239.7278076825306</v>
      </c>
      <c r="AZ25" s="145"/>
      <c r="BA25" s="146" t="s">
        <v>1370</v>
      </c>
      <c r="BB25" s="153" t="s">
        <v>1371</v>
      </c>
      <c r="BC25" s="154">
        <f>SUM(U25:AY25)</f>
        <v>16364.502874622591</v>
      </c>
      <c r="BD25" s="145"/>
      <c r="BE25" s="145"/>
      <c r="BF25" s="145"/>
      <c r="BG25" s="145"/>
      <c r="BH25" s="145"/>
      <c r="BI25" s="145"/>
      <c r="BJ25" s="145"/>
      <c r="BK25" s="145"/>
      <c r="BL25" s="145"/>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c r="A26" s="426"/>
      <c r="B26" s="147"/>
      <c r="C26" s="147"/>
      <c r="D26" s="147"/>
      <c r="E26" s="147"/>
      <c r="F26" s="147"/>
      <c r="G26" s="147"/>
      <c r="H26" s="147"/>
      <c r="I26" s="227"/>
      <c r="J26" s="227"/>
      <c r="K26" s="228" t="str">
        <f>IF(LEN('3 Correl Data Metro'!B22)&gt;0,'3 Correl Data Metro'!B22,"")</f>
        <v/>
      </c>
      <c r="L26" s="140"/>
      <c r="M26" s="140"/>
      <c r="N26" s="140"/>
      <c r="O26" s="141"/>
      <c r="P26" s="140"/>
      <c r="Q26" s="145"/>
      <c r="R26" s="145"/>
      <c r="S26" s="145"/>
      <c r="T26" s="145" t="s">
        <v>1372</v>
      </c>
      <c r="U26" s="145">
        <f>U24*U25</f>
        <v>1982.7058804211831</v>
      </c>
      <c r="V26" s="145">
        <f t="shared" ref="V26:AY26" si="6">V24*V25</f>
        <v>469.00118161712533</v>
      </c>
      <c r="W26" s="145">
        <f t="shared" si="6"/>
        <v>413.5334105274776</v>
      </c>
      <c r="X26" s="145">
        <f t="shared" si="6"/>
        <v>7559.7524016889211</v>
      </c>
      <c r="Y26" s="145">
        <f t="shared" si="6"/>
        <v>1777.671614494478</v>
      </c>
      <c r="Z26" s="145">
        <f t="shared" si="6"/>
        <v>2827.0659313417809</v>
      </c>
      <c r="AA26" s="145">
        <f t="shared" si="6"/>
        <v>3350.3525452991521</v>
      </c>
      <c r="AB26" s="145">
        <f t="shared" si="6"/>
        <v>3032.8503129596083</v>
      </c>
      <c r="AC26" s="145">
        <f t="shared" si="6"/>
        <v>1911.8476047753527</v>
      </c>
      <c r="AD26" s="145">
        <f t="shared" si="6"/>
        <v>7004.7679910132028</v>
      </c>
      <c r="AE26" s="145">
        <f t="shared" si="6"/>
        <v>2687.1127132877059</v>
      </c>
      <c r="AF26" s="145">
        <f t="shared" si="6"/>
        <v>5177.4593365416713</v>
      </c>
      <c r="AG26" s="145">
        <f t="shared" si="6"/>
        <v>2917.8985282049039</v>
      </c>
      <c r="AH26" s="145">
        <f t="shared" si="6"/>
        <v>2187.6021878915699</v>
      </c>
      <c r="AI26" s="145">
        <f t="shared" si="6"/>
        <v>2445.067284318508</v>
      </c>
      <c r="AJ26" s="145">
        <f t="shared" si="6"/>
        <v>3913.8927119489317</v>
      </c>
      <c r="AK26" s="145">
        <f t="shared" si="6"/>
        <v>2810.8149429330233</v>
      </c>
      <c r="AL26" s="145">
        <f t="shared" si="6"/>
        <v>2022.9350243834226</v>
      </c>
      <c r="AM26" s="145">
        <f t="shared" si="6"/>
        <v>3859.0850138561777</v>
      </c>
      <c r="AN26" s="145">
        <f t="shared" si="6"/>
        <v>1714.7688030450852</v>
      </c>
      <c r="AO26" s="145">
        <f t="shared" si="6"/>
        <v>3394.8631710642421</v>
      </c>
      <c r="AP26" s="145">
        <f t="shared" si="6"/>
        <v>2315.2706239410891</v>
      </c>
      <c r="AQ26" s="145">
        <f t="shared" si="6"/>
        <v>2399.2700695853855</v>
      </c>
      <c r="AR26" s="145">
        <f t="shared" si="6"/>
        <v>398.92658814532172</v>
      </c>
      <c r="AS26" s="145">
        <f t="shared" si="6"/>
        <v>1235.3343005829388</v>
      </c>
      <c r="AT26" s="145">
        <f t="shared" si="6"/>
        <v>501.75572952317253</v>
      </c>
      <c r="AU26" s="145">
        <f t="shared" si="6"/>
        <v>1733.8586224043258</v>
      </c>
      <c r="AV26" s="145">
        <f t="shared" si="6"/>
        <v>3668.5122718489315</v>
      </c>
      <c r="AW26" s="145">
        <f t="shared" si="6"/>
        <v>3219.3150309586554</v>
      </c>
      <c r="AX26" s="145">
        <f t="shared" si="6"/>
        <v>1869.1177632407332</v>
      </c>
      <c r="AY26" s="145">
        <f t="shared" si="6"/>
        <v>1006.8567922666285</v>
      </c>
      <c r="AZ26" s="145"/>
      <c r="BA26" s="146" t="s">
        <v>1372</v>
      </c>
      <c r="BB26" s="153" t="s">
        <v>1373</v>
      </c>
      <c r="BC26" s="154">
        <f>SUM(U26:AZ26)</f>
        <v>81809.266384110699</v>
      </c>
      <c r="BD26" s="145"/>
      <c r="BE26" s="145"/>
      <c r="BF26" s="145"/>
      <c r="BG26" s="145"/>
      <c r="BH26" s="145"/>
      <c r="BI26" s="145"/>
      <c r="BJ26" s="145"/>
      <c r="BK26" s="145"/>
      <c r="BL26" s="145"/>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ht="15.75">
      <c r="A27" s="426"/>
      <c r="B27" s="147"/>
      <c r="C27" s="147"/>
      <c r="D27" s="147"/>
      <c r="E27" s="147"/>
      <c r="F27" s="147"/>
      <c r="G27" s="147"/>
      <c r="H27" s="147"/>
      <c r="I27" s="227"/>
      <c r="J27" s="227"/>
      <c r="K27" s="228" t="str">
        <f>IF(LEN('3 Correl Data Metro'!B23)&gt;0,'3 Correl Data Metro'!B23,"")</f>
        <v/>
      </c>
      <c r="L27" s="140"/>
      <c r="M27" s="140"/>
      <c r="N27" s="140"/>
      <c r="O27" s="141"/>
      <c r="P27" s="140"/>
      <c r="Q27" s="145"/>
      <c r="R27" s="145"/>
      <c r="S27" s="145"/>
      <c r="T27" s="145" t="s">
        <v>1374</v>
      </c>
      <c r="U27" s="145">
        <f>U24^2</f>
        <v>12.25</v>
      </c>
      <c r="V27" s="145">
        <f t="shared" ref="V27:AY27" si="7">V24^2</f>
        <v>7.839999999999999</v>
      </c>
      <c r="W27" s="145">
        <f t="shared" si="7"/>
        <v>8.41</v>
      </c>
      <c r="X27" s="145">
        <f t="shared" si="7"/>
        <v>73.959999999999994</v>
      </c>
      <c r="Y27" s="145">
        <f t="shared" si="7"/>
        <v>25</v>
      </c>
      <c r="Z27" s="145">
        <f t="shared" si="7"/>
        <v>29.160000000000004</v>
      </c>
      <c r="AA27" s="145">
        <f t="shared" si="7"/>
        <v>29.160000000000004</v>
      </c>
      <c r="AB27" s="145">
        <f t="shared" si="7"/>
        <v>29.160000000000004</v>
      </c>
      <c r="AC27" s="145">
        <f t="shared" si="7"/>
        <v>9.6100000000000012</v>
      </c>
      <c r="AD27" s="145">
        <f t="shared" si="7"/>
        <v>59.290000000000006</v>
      </c>
      <c r="AE27" s="145">
        <f t="shared" si="7"/>
        <v>18.489999999999998</v>
      </c>
      <c r="AF27" s="145">
        <f t="shared" si="7"/>
        <v>60.839999999999996</v>
      </c>
      <c r="AG27" s="145">
        <f t="shared" si="7"/>
        <v>19.360000000000003</v>
      </c>
      <c r="AH27" s="145">
        <f t="shared" si="7"/>
        <v>14.44</v>
      </c>
      <c r="AI27" s="145">
        <f t="shared" si="7"/>
        <v>19.360000000000003</v>
      </c>
      <c r="AJ27" s="145">
        <f t="shared" si="7"/>
        <v>27.040000000000003</v>
      </c>
      <c r="AK27" s="145">
        <f t="shared" si="7"/>
        <v>16.809999999999999</v>
      </c>
      <c r="AL27" s="145">
        <f t="shared" si="7"/>
        <v>13.690000000000001</v>
      </c>
      <c r="AM27" s="145">
        <f t="shared" si="7"/>
        <v>44.89</v>
      </c>
      <c r="AN27" s="145">
        <f t="shared" si="7"/>
        <v>6.25</v>
      </c>
      <c r="AO27" s="145">
        <f t="shared" si="7"/>
        <v>20.25</v>
      </c>
      <c r="AP27" s="145">
        <f t="shared" si="7"/>
        <v>29.160000000000004</v>
      </c>
      <c r="AQ27" s="145">
        <f t="shared" si="7"/>
        <v>14.44</v>
      </c>
      <c r="AR27" s="145">
        <f t="shared" si="7"/>
        <v>4</v>
      </c>
      <c r="AS27" s="145">
        <f t="shared" si="7"/>
        <v>18.489999999999998</v>
      </c>
      <c r="AT27" s="145">
        <f t="shared" si="7"/>
        <v>6.25</v>
      </c>
      <c r="AU27" s="145">
        <f t="shared" si="7"/>
        <v>21.159999999999997</v>
      </c>
      <c r="AV27" s="145">
        <f t="shared" si="7"/>
        <v>31.359999999999996</v>
      </c>
      <c r="AW27" s="145">
        <f t="shared" si="7"/>
        <v>32.49</v>
      </c>
      <c r="AX27" s="145">
        <f t="shared" si="7"/>
        <v>28.09</v>
      </c>
      <c r="AY27" s="145">
        <f t="shared" si="7"/>
        <v>17.64</v>
      </c>
      <c r="AZ27" s="145"/>
      <c r="BA27" s="146" t="s">
        <v>1413</v>
      </c>
      <c r="BB27" s="153" t="s">
        <v>1414</v>
      </c>
      <c r="BC27" s="154">
        <f>SUM(U27:AZ27)</f>
        <v>748.34000000000015</v>
      </c>
      <c r="BD27" s="145"/>
      <c r="BE27" s="145"/>
      <c r="BF27" s="145"/>
      <c r="BG27" s="145"/>
      <c r="BH27" s="145"/>
      <c r="BI27" s="145"/>
      <c r="BJ27" s="145"/>
      <c r="BK27" s="145"/>
      <c r="BL27" s="145"/>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c r="A28" s="426"/>
      <c r="B28" s="147"/>
      <c r="C28" s="147"/>
      <c r="D28" s="147"/>
      <c r="E28" s="147"/>
      <c r="F28" s="147"/>
      <c r="G28" s="147"/>
      <c r="H28" s="147"/>
      <c r="I28" s="227"/>
      <c r="J28" s="227"/>
      <c r="K28" s="228" t="str">
        <f>IF(LEN('3 Correl Data Metro'!B24)&gt;0,'3 Correl Data Metro'!B24,"")</f>
        <v/>
      </c>
      <c r="L28" s="140"/>
      <c r="M28" s="140"/>
      <c r="N28" s="140"/>
      <c r="O28" s="141"/>
      <c r="P28" s="140"/>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55"/>
      <c r="BD28" s="145"/>
      <c r="BE28" s="145"/>
      <c r="BF28" s="145"/>
      <c r="BG28" s="145"/>
      <c r="BH28" s="145"/>
      <c r="BI28" s="145"/>
      <c r="BJ28" s="145"/>
      <c r="BK28" s="145"/>
      <c r="BL28" s="145"/>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c r="A29" s="147"/>
      <c r="B29" s="147"/>
      <c r="C29" s="147"/>
      <c r="D29" s="147"/>
      <c r="E29" s="147"/>
      <c r="F29" s="147"/>
      <c r="G29" s="147"/>
      <c r="H29" s="147"/>
      <c r="I29" s="227"/>
      <c r="J29" s="227"/>
      <c r="K29" s="228" t="str">
        <f>IF(LEN('3 Correl Data Metro'!B25)&gt;0,'3 Correl Data Metro'!B25,"")</f>
        <v/>
      </c>
      <c r="L29" s="140"/>
      <c r="M29" s="140"/>
      <c r="N29" s="140"/>
      <c r="O29" s="141"/>
      <c r="P29" s="140"/>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6" t="s">
        <v>1375</v>
      </c>
      <c r="BA29" s="145"/>
      <c r="BB29" s="156" t="s">
        <v>1376</v>
      </c>
      <c r="BC29" s="154">
        <f>BC26-(BC24*BC25)/BC23</f>
        <v>5476.7787818388751</v>
      </c>
      <c r="BD29" s="145"/>
      <c r="BE29" s="145"/>
      <c r="BF29" s="145"/>
      <c r="BG29" s="145"/>
      <c r="BH29" s="145"/>
      <c r="BI29" s="145"/>
      <c r="BJ29" s="145"/>
      <c r="BK29" s="145"/>
      <c r="BL29" s="145"/>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c r="A30" s="147"/>
      <c r="B30" s="419"/>
      <c r="C30" s="419"/>
      <c r="D30" s="419"/>
      <c r="E30" s="419"/>
      <c r="F30" s="419"/>
      <c r="G30" s="419"/>
      <c r="H30" s="419"/>
      <c r="I30" s="227"/>
      <c r="J30" s="227"/>
      <c r="K30" s="228" t="str">
        <f>IF(LEN('3 Correl Data Metro'!B26)&gt;0,'3 Correl Data Metro'!B26,"")</f>
        <v/>
      </c>
      <c r="L30" s="140"/>
      <c r="M30" s="140"/>
      <c r="N30" s="140"/>
      <c r="O30" s="141"/>
      <c r="P30" s="140"/>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56" t="s">
        <v>1377</v>
      </c>
      <c r="BC30" s="154">
        <f>BC27-(BC24*BC24)/BC23</f>
        <v>73.850967741935619</v>
      </c>
      <c r="BD30" s="145"/>
      <c r="BE30" s="145"/>
      <c r="BF30" s="145"/>
      <c r="BG30" s="145"/>
      <c r="BH30" s="145"/>
      <c r="BI30" s="145"/>
      <c r="BJ30" s="145"/>
      <c r="BK30" s="145"/>
      <c r="BL30" s="145"/>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c r="A31" s="147"/>
      <c r="B31" s="147"/>
      <c r="C31" s="147"/>
      <c r="D31" s="147"/>
      <c r="E31" s="147"/>
      <c r="F31" s="147"/>
      <c r="G31" s="147"/>
      <c r="H31" s="147"/>
      <c r="I31" s="227"/>
      <c r="J31" s="227"/>
      <c r="K31" s="228" t="str">
        <f>IF(LEN('3 Correl Data Metro'!B27)&gt;0,'3 Correl Data Metro'!B27,"")</f>
        <v/>
      </c>
      <c r="L31" s="140"/>
      <c r="M31" s="140"/>
      <c r="N31" s="140"/>
      <c r="O31" s="141"/>
      <c r="P31" s="140"/>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53" t="s">
        <v>1378</v>
      </c>
      <c r="BC31" s="157">
        <f>BC29/BC30</f>
        <v>74.159878323827769</v>
      </c>
      <c r="BD31" s="145"/>
      <c r="BE31" s="145"/>
      <c r="BF31" s="145"/>
      <c r="BG31" s="145"/>
      <c r="BH31" s="145"/>
      <c r="BI31" s="145"/>
      <c r="BJ31" s="145"/>
      <c r="BK31" s="145"/>
      <c r="BL31" s="145"/>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c r="A32" s="147"/>
      <c r="B32" s="147"/>
      <c r="C32" s="147"/>
      <c r="D32" s="147"/>
      <c r="E32" s="147"/>
      <c r="F32" s="147"/>
      <c r="G32" s="147"/>
      <c r="H32" s="147"/>
      <c r="I32" s="227"/>
      <c r="J32" s="227"/>
      <c r="K32" s="228" t="str">
        <f>IF(LEN('3 Correl Data Metro'!B28)&gt;0,'3 Correl Data Metro'!B28,"")</f>
        <v/>
      </c>
      <c r="L32" s="140"/>
      <c r="M32" s="140"/>
      <c r="N32" s="140"/>
      <c r="O32" s="141"/>
      <c r="P32" s="140"/>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c r="A33" s="147"/>
      <c r="B33" s="147"/>
      <c r="C33" s="147"/>
      <c r="D33" s="147"/>
      <c r="E33" s="147"/>
      <c r="F33" s="147"/>
      <c r="G33" s="147"/>
      <c r="H33" s="147"/>
      <c r="I33" s="227"/>
      <c r="J33" s="227"/>
      <c r="K33" s="228" t="str">
        <f>IF(LEN('3 Correl Data Metro'!B29)&gt;0,'3 Correl Data Metro'!B29,"")</f>
        <v/>
      </c>
      <c r="L33" s="140"/>
      <c r="M33" s="140"/>
      <c r="N33" s="140"/>
      <c r="O33" s="141"/>
      <c r="P33" s="140"/>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6" t="s">
        <v>1379</v>
      </c>
      <c r="BA33" s="146"/>
      <c r="BB33" s="153" t="s">
        <v>1380</v>
      </c>
      <c r="BC33" s="154">
        <f>AVERAGE(U24:AY24)</f>
        <v>4.6645161290322577</v>
      </c>
      <c r="BD33" s="145"/>
      <c r="BE33" s="145"/>
      <c r="BF33" s="145"/>
      <c r="BG33" s="145"/>
      <c r="BH33" s="145"/>
      <c r="BI33" s="145"/>
      <c r="BJ33" s="145"/>
      <c r="BK33" s="145"/>
      <c r="BL33" s="145"/>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c r="A34" s="147"/>
      <c r="B34" s="147"/>
      <c r="C34" s="147"/>
      <c r="D34" s="147"/>
      <c r="E34" s="147"/>
      <c r="F34" s="147"/>
      <c r="G34" s="147"/>
      <c r="H34" s="147"/>
      <c r="I34" s="227"/>
      <c r="J34" s="227"/>
      <c r="K34" s="228" t="str">
        <f>IF(LEN('3 Correl Data Metro'!B30)&gt;0,'3 Correl Data Metro'!B30,"")</f>
        <v/>
      </c>
      <c r="L34" s="140"/>
      <c r="M34" s="140"/>
      <c r="N34" s="140"/>
      <c r="O34" s="141"/>
      <c r="P34" s="140"/>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53" t="s">
        <v>1381</v>
      </c>
      <c r="BC34" s="154">
        <f>AVERAGE(U25:AY25)</f>
        <v>527.88718950395457</v>
      </c>
      <c r="BD34" s="145"/>
      <c r="BE34" s="145"/>
      <c r="BF34" s="145"/>
      <c r="BG34" s="145"/>
      <c r="BH34" s="145"/>
      <c r="BI34" s="145"/>
      <c r="BJ34" s="145"/>
      <c r="BK34" s="145"/>
      <c r="BL34" s="145"/>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c r="A35" s="147"/>
      <c r="B35" s="147"/>
      <c r="C35" s="147"/>
      <c r="D35" s="147"/>
      <c r="E35" s="147"/>
      <c r="F35" s="147"/>
      <c r="G35" s="147"/>
      <c r="H35" s="147"/>
      <c r="I35" s="227"/>
      <c r="J35" s="227"/>
      <c r="K35" s="228" t="str">
        <f>IF(LEN('3 Correl Data Metro'!B31)&gt;0,'3 Correl Data Metro'!B31,"")</f>
        <v/>
      </c>
      <c r="L35" s="140"/>
      <c r="M35" s="140"/>
      <c r="N35" s="140"/>
      <c r="O35" s="141"/>
      <c r="P35" s="140"/>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53" t="s">
        <v>1382</v>
      </c>
      <c r="BC35" s="157">
        <f>BC34-BC31*BC33</f>
        <v>181.96724093539024</v>
      </c>
      <c r="BD35" s="145"/>
      <c r="BE35" s="145"/>
      <c r="BF35" s="145"/>
      <c r="BG35" s="145"/>
      <c r="BH35" s="145"/>
      <c r="BI35" s="145"/>
      <c r="BJ35" s="145"/>
      <c r="BK35" s="145"/>
      <c r="BL35" s="145"/>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c r="A36" s="147"/>
      <c r="B36" s="147"/>
      <c r="C36" s="147"/>
      <c r="D36" s="147"/>
      <c r="E36" s="147"/>
      <c r="F36" s="147"/>
      <c r="G36" s="147"/>
      <c r="H36" s="147"/>
      <c r="I36" s="227"/>
      <c r="J36" s="227"/>
      <c r="K36" s="228" t="str">
        <f>IF(LEN('3 Correl Data Metro'!B32)&gt;0,'3 Correl Data Metro'!B32,"")</f>
        <v/>
      </c>
      <c r="L36" s="140"/>
      <c r="M36" s="140"/>
      <c r="N36" s="140"/>
      <c r="O36" s="141"/>
      <c r="P36" s="140"/>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c r="A37" s="147"/>
      <c r="B37" s="147"/>
      <c r="C37" s="147"/>
      <c r="D37" s="147"/>
      <c r="E37" s="147"/>
      <c r="F37" s="147"/>
      <c r="G37" s="147"/>
      <c r="H37" s="147"/>
      <c r="I37" s="227"/>
      <c r="J37" s="227"/>
      <c r="K37" s="228" t="str">
        <f>IF(LEN('3 Correl Data Metro'!B33)&gt;0,'3 Correl Data Metro'!B33,"")</f>
        <v/>
      </c>
      <c r="L37" s="140"/>
      <c r="M37" s="140"/>
      <c r="N37" s="140"/>
      <c r="O37" s="141"/>
      <c r="P37" s="140"/>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c r="A38" s="147"/>
      <c r="B38" s="147"/>
      <c r="C38" s="147"/>
      <c r="D38" s="147"/>
      <c r="E38" s="147"/>
      <c r="F38" s="147"/>
      <c r="G38" s="147"/>
      <c r="H38" s="147"/>
      <c r="I38" s="227"/>
      <c r="J38" s="227"/>
      <c r="K38" s="228" t="str">
        <f>IF(LEN('3 Correl Data Metro'!B34)&gt;0,'3 Correl Data Metro'!B34,"")</f>
        <v/>
      </c>
      <c r="L38" s="140"/>
      <c r="M38" s="140"/>
      <c r="N38" s="140"/>
      <c r="O38" s="141"/>
      <c r="P38" s="140"/>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c r="A39" s="147"/>
      <c r="B39" s="147"/>
      <c r="C39" s="147"/>
      <c r="D39" s="147"/>
      <c r="E39" s="147"/>
      <c r="F39" s="147"/>
      <c r="G39" s="147"/>
      <c r="H39" s="147"/>
      <c r="I39" s="227"/>
      <c r="J39" s="227"/>
      <c r="K39" s="228" t="str">
        <f>IF(LEN('3 Correl Data Metro'!B35)&gt;0,'3 Correl Data Metro'!B35,"")</f>
        <v/>
      </c>
      <c r="L39" s="140"/>
      <c r="M39" s="140"/>
      <c r="N39" s="140"/>
      <c r="O39" s="141"/>
      <c r="P39" s="140"/>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c r="A40" s="147"/>
      <c r="B40" s="147"/>
      <c r="C40" s="147"/>
      <c r="D40" s="147"/>
      <c r="E40" s="147"/>
      <c r="F40" s="147"/>
      <c r="G40" s="147"/>
      <c r="H40" s="147"/>
      <c r="I40" s="227"/>
      <c r="J40" s="227"/>
      <c r="K40" s="228" t="str">
        <f>IF(LEN('3 Correl Data Metro'!B36)&gt;0,'3 Correl Data Metro'!B36,"")</f>
        <v/>
      </c>
      <c r="L40" s="140"/>
      <c r="M40" s="140"/>
      <c r="N40" s="140"/>
      <c r="O40" s="141"/>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c r="A41" s="147"/>
      <c r="B41" s="147"/>
      <c r="C41" s="147"/>
      <c r="D41" s="147"/>
      <c r="E41" s="147"/>
      <c r="F41" s="147"/>
      <c r="G41" s="147"/>
      <c r="H41" s="147"/>
      <c r="I41" s="227"/>
      <c r="J41" s="227"/>
      <c r="K41" s="228" t="str">
        <f>IF(LEN('3 Correl Data Metro'!B37)&gt;0,'3 Correl Data Metro'!B37,"")</f>
        <v/>
      </c>
      <c r="L41" s="140"/>
      <c r="M41" s="140"/>
      <c r="N41" s="140"/>
      <c r="O41" s="141"/>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c r="A42" s="147"/>
      <c r="B42" s="147"/>
      <c r="C42" s="147"/>
      <c r="D42" s="147"/>
      <c r="E42" s="147"/>
      <c r="F42" s="147"/>
      <c r="G42" s="147"/>
      <c r="H42" s="147"/>
      <c r="I42" s="227"/>
      <c r="J42" s="227"/>
      <c r="K42" s="228" t="str">
        <f>IF(LEN('3 Correl Data Metro'!B38)&gt;0,'3 Correl Data Metro'!B38,"")</f>
        <v/>
      </c>
      <c r="L42" s="140"/>
      <c r="M42" s="140"/>
      <c r="N42" s="140"/>
      <c r="O42" s="141"/>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c r="A43" s="147"/>
      <c r="B43" s="147"/>
      <c r="C43" s="147"/>
      <c r="D43" s="147"/>
      <c r="E43" s="147"/>
      <c r="F43" s="147"/>
      <c r="G43" s="147"/>
      <c r="H43" s="147"/>
      <c r="I43" s="227"/>
      <c r="J43" s="227"/>
      <c r="K43" s="228" t="str">
        <f>IF(LEN('3 Correl Data Metro'!B39)&gt;0,'3 Correl Data Metro'!B39,"")</f>
        <v/>
      </c>
      <c r="L43" s="140"/>
      <c r="M43" s="140"/>
      <c r="N43" s="140"/>
      <c r="O43" s="141"/>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c r="A44" s="147"/>
      <c r="B44" s="147"/>
      <c r="C44" s="147"/>
      <c r="D44" s="147"/>
      <c r="E44" s="147"/>
      <c r="F44" s="147"/>
      <c r="G44" s="147"/>
      <c r="H44" s="147"/>
      <c r="I44" s="227"/>
      <c r="J44" s="227"/>
      <c r="K44" s="228" t="str">
        <f>IF(LEN('3 Correl Data Metro'!B40)&gt;0,'3 Correl Data Metro'!B40,"")</f>
        <v/>
      </c>
      <c r="L44" s="140"/>
      <c r="M44" s="140"/>
      <c r="N44" s="140"/>
      <c r="O44" s="141"/>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c r="A45" s="147"/>
      <c r="B45" s="147"/>
      <c r="C45" s="147"/>
      <c r="D45" s="147"/>
      <c r="E45" s="147"/>
      <c r="F45" s="147"/>
      <c r="G45" s="147"/>
      <c r="H45" s="147"/>
      <c r="I45" s="227"/>
      <c r="J45" s="227"/>
      <c r="K45" s="228" t="str">
        <f>IF(LEN('3 Correl Data Metro'!B41)&gt;0,'3 Correl Data Metro'!B41,"")</f>
        <v/>
      </c>
      <c r="L45" s="140"/>
      <c r="M45" s="140"/>
      <c r="N45" s="140"/>
      <c r="O45" s="141"/>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c r="A46" s="147"/>
      <c r="B46" s="147"/>
      <c r="C46" s="147"/>
      <c r="D46" s="147"/>
      <c r="E46" s="147"/>
      <c r="F46" s="147"/>
      <c r="G46" s="147"/>
      <c r="H46" s="147"/>
      <c r="I46" s="227"/>
      <c r="J46" s="227"/>
      <c r="K46" s="228" t="str">
        <f>IF(LEN('3 Correl Data Metro'!B42)&gt;0,'3 Correl Data Metro'!B42,"")</f>
        <v/>
      </c>
      <c r="L46" s="140"/>
      <c r="M46" s="140"/>
      <c r="N46" s="140"/>
      <c r="O46" s="141"/>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c r="A47" s="147"/>
      <c r="B47" s="147"/>
      <c r="C47" s="147"/>
      <c r="D47" s="147"/>
      <c r="E47" s="147"/>
      <c r="F47" s="147"/>
      <c r="G47" s="147"/>
      <c r="H47" s="147"/>
      <c r="I47" s="227"/>
      <c r="J47" s="227"/>
      <c r="K47" s="228" t="str">
        <f>IF(LEN('3 Correl Data Metro'!B43)&gt;0,'3 Correl Data Metro'!B43,"")</f>
        <v/>
      </c>
      <c r="L47" s="140"/>
      <c r="M47" s="140"/>
      <c r="N47" s="140"/>
      <c r="O47" s="141"/>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c r="A48" s="147"/>
      <c r="B48" s="147"/>
      <c r="C48" s="147"/>
      <c r="D48" s="147"/>
      <c r="E48" s="147"/>
      <c r="F48" s="147"/>
      <c r="G48" s="147"/>
      <c r="H48" s="147"/>
      <c r="I48" s="227"/>
      <c r="J48" s="227"/>
      <c r="K48" s="228" t="str">
        <f>IF(LEN('3 Correl Data Metro'!B44)&gt;0,'3 Correl Data Metro'!B44,"")</f>
        <v/>
      </c>
      <c r="L48" s="140"/>
      <c r="M48" s="140"/>
      <c r="N48" s="140"/>
      <c r="O48" s="141"/>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1:91">
      <c r="A49" s="147"/>
      <c r="B49" s="147"/>
      <c r="C49" s="147"/>
      <c r="D49" s="147"/>
      <c r="E49" s="147"/>
      <c r="F49" s="147"/>
      <c r="G49" s="147"/>
      <c r="H49" s="147"/>
      <c r="I49" s="227"/>
      <c r="J49" s="227"/>
      <c r="K49" s="228" t="str">
        <f>IF(LEN('3 Correl Data Metro'!B45)&gt;0,'3 Correl Data Metro'!B45,"")</f>
        <v/>
      </c>
      <c r="L49" s="140"/>
      <c r="M49" s="140"/>
      <c r="N49" s="140"/>
      <c r="O49" s="141"/>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1:91">
      <c r="A50" s="147"/>
      <c r="B50" s="147"/>
      <c r="C50" s="147"/>
      <c r="D50" s="147"/>
      <c r="E50" s="147"/>
      <c r="F50" s="147"/>
      <c r="G50" s="147"/>
      <c r="H50" s="147"/>
      <c r="I50" s="227"/>
      <c r="J50" s="227"/>
      <c r="K50" s="228" t="str">
        <f>IF(LEN('3 Correl Data Metro'!B46)&gt;0,'3 Correl Data Metro'!B46,"")</f>
        <v/>
      </c>
      <c r="L50" s="140"/>
      <c r="M50" s="140"/>
      <c r="N50" s="140"/>
      <c r="O50" s="141"/>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1:91">
      <c r="A51" s="147"/>
      <c r="B51" s="147"/>
      <c r="C51" s="147"/>
      <c r="D51" s="147"/>
      <c r="E51" s="147"/>
      <c r="F51" s="147"/>
      <c r="G51" s="147"/>
      <c r="H51" s="147"/>
      <c r="I51" s="227"/>
      <c r="J51" s="227"/>
      <c r="K51" s="228" t="str">
        <f>IF(LEN('3 Correl Data Metro'!B47)&gt;0,'3 Correl Data Metro'!B47,"")</f>
        <v/>
      </c>
      <c r="L51" s="140"/>
      <c r="M51" s="140"/>
      <c r="N51" s="140"/>
      <c r="O51" s="141"/>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1:91">
      <c r="A52" s="147"/>
      <c r="B52" s="147"/>
      <c r="C52" s="147"/>
      <c r="D52" s="147"/>
      <c r="E52" s="147"/>
      <c r="F52" s="147"/>
      <c r="G52" s="147"/>
      <c r="H52" s="147"/>
      <c r="I52" s="227"/>
      <c r="J52" s="227"/>
      <c r="K52" s="228" t="str">
        <f>IF(LEN('3 Correl Data Metro'!B48)&gt;0,'3 Correl Data Metro'!B48,"")</f>
        <v/>
      </c>
      <c r="L52" s="140"/>
      <c r="M52" s="140"/>
      <c r="N52" s="140"/>
      <c r="O52" s="141"/>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1:91">
      <c r="A53" s="147"/>
      <c r="B53" s="147"/>
      <c r="C53" s="147"/>
      <c r="D53" s="147"/>
      <c r="E53" s="147"/>
      <c r="F53" s="147"/>
      <c r="G53" s="147"/>
      <c r="H53" s="147"/>
      <c r="I53" s="227"/>
      <c r="J53" s="227"/>
      <c r="K53" s="228" t="str">
        <f>IF(LEN('3 Correl Data Metro'!B49)&gt;0,'3 Correl Data Metro'!B49,"")</f>
        <v/>
      </c>
      <c r="L53" s="140"/>
      <c r="M53" s="140"/>
      <c r="N53" s="140"/>
      <c r="O53" s="141"/>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1:91">
      <c r="A54" s="147"/>
      <c r="B54" s="147"/>
      <c r="C54" s="147"/>
      <c r="D54" s="147"/>
      <c r="E54" s="147"/>
      <c r="F54" s="147"/>
      <c r="G54" s="147"/>
      <c r="H54" s="147"/>
      <c r="I54" s="227"/>
      <c r="J54" s="227"/>
      <c r="K54" s="228" t="str">
        <f>IF(LEN('3 Correl Data Metro'!B50)&gt;0,'3 Correl Data Metro'!B50,"")</f>
        <v/>
      </c>
      <c r="L54" s="140"/>
      <c r="M54" s="140"/>
      <c r="N54" s="140"/>
      <c r="O54" s="141"/>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1:91">
      <c r="A55" s="147"/>
      <c r="B55" s="147"/>
      <c r="C55" s="147"/>
      <c r="D55" s="147"/>
      <c r="E55" s="147"/>
      <c r="F55" s="147"/>
      <c r="G55" s="147"/>
      <c r="H55" s="147"/>
      <c r="I55" s="227"/>
      <c r="J55" s="227"/>
      <c r="K55" s="228" t="str">
        <f>IF(LEN('3 Correl Data Metro'!B51)&gt;0,'3 Correl Data Metro'!B51,"")</f>
        <v/>
      </c>
      <c r="L55" s="140"/>
      <c r="M55" s="140"/>
      <c r="N55" s="140"/>
      <c r="O55" s="141"/>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1:91">
      <c r="A56" s="147"/>
      <c r="B56" s="147"/>
      <c r="C56" s="147"/>
      <c r="D56" s="147"/>
      <c r="E56" s="147"/>
      <c r="F56" s="147"/>
      <c r="G56" s="147"/>
      <c r="H56" s="147"/>
      <c r="I56" s="227"/>
      <c r="J56" s="227"/>
      <c r="K56" s="228" t="str">
        <f>IF(LEN('3 Correl Data Metro'!B52)&gt;0,'3 Correl Data Metro'!B52,"")</f>
        <v/>
      </c>
      <c r="L56" s="140"/>
      <c r="M56" s="140"/>
      <c r="N56" s="140"/>
      <c r="O56" s="141"/>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1:91">
      <c r="A57" s="147"/>
      <c r="B57" s="147"/>
      <c r="C57" s="147"/>
      <c r="D57" s="147"/>
      <c r="E57" s="147"/>
      <c r="F57" s="147"/>
      <c r="G57" s="147"/>
      <c r="H57" s="147"/>
      <c r="I57" s="227"/>
      <c r="J57" s="227"/>
      <c r="K57" s="228" t="str">
        <f>IF(LEN('3 Correl Data Metro'!B53)&gt;0,'3 Correl Data Metro'!B53,"")</f>
        <v/>
      </c>
      <c r="L57" s="140"/>
      <c r="M57" s="140"/>
      <c r="N57" s="140"/>
      <c r="O57" s="141"/>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1:91">
      <c r="A58" s="147"/>
      <c r="B58" s="147"/>
      <c r="C58" s="147"/>
      <c r="D58" s="147"/>
      <c r="E58" s="147"/>
      <c r="F58" s="147"/>
      <c r="G58" s="147"/>
      <c r="H58" s="147"/>
      <c r="I58" s="227"/>
      <c r="J58" s="227"/>
      <c r="K58" s="228" t="str">
        <f>IF(LEN('3 Correl Data Metro'!B54)&gt;0,'3 Correl Data Metro'!B54,"")</f>
        <v/>
      </c>
      <c r="L58" s="140"/>
      <c r="M58" s="140"/>
      <c r="N58" s="140"/>
      <c r="O58" s="141"/>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1:91">
      <c r="A59" s="147"/>
      <c r="B59" s="147"/>
      <c r="C59" s="147"/>
      <c r="D59" s="147"/>
      <c r="E59" s="147"/>
      <c r="F59" s="147"/>
      <c r="G59" s="147"/>
      <c r="H59" s="147"/>
      <c r="I59" s="227"/>
      <c r="J59" s="227"/>
      <c r="K59" s="228" t="str">
        <f>IF(LEN('3 Correl Data Metro'!B55)&gt;0,'3 Correl Data Metro'!B55,"")</f>
        <v/>
      </c>
      <c r="L59" s="140"/>
      <c r="M59" s="140"/>
      <c r="N59" s="140"/>
      <c r="O59" s="141"/>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1:91">
      <c r="A60" s="147"/>
      <c r="B60" s="147"/>
      <c r="C60" s="147"/>
      <c r="D60" s="147"/>
      <c r="E60" s="147"/>
      <c r="F60" s="147"/>
      <c r="G60" s="147"/>
      <c r="H60" s="147"/>
      <c r="I60" s="227"/>
      <c r="J60" s="227"/>
      <c r="K60" s="228" t="str">
        <f>IF(LEN('3 Correl Data Metro'!B56)&gt;0,'3 Correl Data Metro'!B56,"")</f>
        <v/>
      </c>
      <c r="L60" s="140"/>
      <c r="M60" s="140"/>
      <c r="N60" s="140"/>
      <c r="O60" s="141"/>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1:91">
      <c r="A61" s="147"/>
      <c r="B61" s="147"/>
      <c r="C61" s="147"/>
      <c r="D61" s="147"/>
      <c r="E61" s="147"/>
      <c r="F61" s="147"/>
      <c r="G61" s="147"/>
      <c r="H61" s="147"/>
      <c r="I61" s="227"/>
      <c r="J61" s="227"/>
      <c r="K61" s="228" t="str">
        <f>IF(LEN('3 Correl Data Metro'!B57)&gt;0,'3 Correl Data Metro'!B57,"")</f>
        <v/>
      </c>
      <c r="L61" s="140"/>
      <c r="M61" s="140"/>
      <c r="N61" s="140"/>
      <c r="O61" s="141"/>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1:91">
      <c r="A62" s="147"/>
      <c r="B62" s="147"/>
      <c r="C62" s="147"/>
      <c r="D62" s="147"/>
      <c r="E62" s="147"/>
      <c r="F62" s="147"/>
      <c r="G62" s="147"/>
      <c r="H62" s="147"/>
      <c r="I62" s="227"/>
      <c r="J62" s="227"/>
      <c r="K62" s="228" t="str">
        <f>IF(LEN('3 Correl Data Metro'!B58)&gt;0,'3 Correl Data Metro'!B58,"")</f>
        <v/>
      </c>
      <c r="L62" s="140"/>
      <c r="M62" s="140"/>
      <c r="N62" s="140"/>
      <c r="O62" s="141"/>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1:91">
      <c r="A63" s="147"/>
      <c r="B63" s="147"/>
      <c r="C63" s="147"/>
      <c r="D63" s="147"/>
      <c r="E63" s="147"/>
      <c r="F63" s="147"/>
      <c r="G63" s="147"/>
      <c r="H63" s="147"/>
      <c r="I63" s="227"/>
      <c r="J63" s="227"/>
      <c r="K63" s="228" t="str">
        <f>IF(LEN('3 Correl Data Metro'!B59)&gt;0,'3 Correl Data Metro'!B59,"")</f>
        <v/>
      </c>
      <c r="L63" s="140"/>
      <c r="M63" s="140"/>
      <c r="N63" s="140"/>
      <c r="O63" s="141"/>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1:91">
      <c r="A64" s="147"/>
      <c r="B64" s="147"/>
      <c r="C64" s="147"/>
      <c r="D64" s="147"/>
      <c r="E64" s="147"/>
      <c r="F64" s="147"/>
      <c r="G64" s="147"/>
      <c r="H64" s="147"/>
      <c r="I64" s="227"/>
      <c r="J64" s="227"/>
      <c r="K64" s="228" t="str">
        <f>IF(LEN('3 Correl Data Metro'!B60)&gt;0,'3 Correl Data Metro'!B60,"")</f>
        <v/>
      </c>
      <c r="L64" s="140"/>
      <c r="M64" s="140"/>
      <c r="N64" s="140"/>
      <c r="O64" s="141"/>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1:91">
      <c r="A65" s="147"/>
      <c r="B65" s="147"/>
      <c r="C65" s="147"/>
      <c r="D65" s="147"/>
      <c r="E65" s="147"/>
      <c r="F65" s="147"/>
      <c r="G65" s="147"/>
      <c r="H65" s="147"/>
      <c r="I65" s="227"/>
      <c r="J65" s="227"/>
      <c r="K65" s="228" t="str">
        <f>IF(LEN('3 Correl Data Metro'!B61)&gt;0,'3 Correl Data Metro'!B61,"")</f>
        <v/>
      </c>
      <c r="L65" s="140"/>
      <c r="M65" s="140"/>
      <c r="N65" s="140"/>
      <c r="O65" s="141"/>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1:91">
      <c r="A66" s="147"/>
      <c r="B66" s="147"/>
      <c r="C66" s="147"/>
      <c r="D66" s="147"/>
      <c r="E66" s="147"/>
      <c r="F66" s="147"/>
      <c r="G66" s="147"/>
      <c r="H66" s="147"/>
      <c r="I66" s="227"/>
      <c r="J66" s="227"/>
      <c r="K66" s="228" t="str">
        <f>IF(LEN('3 Correl Data Metro'!B62)&gt;0,'3 Correl Data Metro'!B62,"")</f>
        <v/>
      </c>
      <c r="L66" s="140"/>
      <c r="M66" s="140"/>
      <c r="N66" s="140"/>
      <c r="O66" s="141"/>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1:91">
      <c r="A67" s="147"/>
      <c r="B67" s="147"/>
      <c r="C67" s="147"/>
      <c r="D67" s="147"/>
      <c r="E67" s="147"/>
      <c r="F67" s="147"/>
      <c r="G67" s="147"/>
      <c r="H67" s="147"/>
      <c r="I67" s="227"/>
      <c r="J67" s="227"/>
      <c r="K67" s="228"/>
      <c r="L67" s="140"/>
      <c r="M67" s="140"/>
      <c r="N67" s="140"/>
      <c r="O67" s="141"/>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1:91">
      <c r="A68" s="147"/>
      <c r="B68" s="147"/>
      <c r="C68" s="147"/>
      <c r="D68" s="147"/>
      <c r="E68" s="147"/>
      <c r="F68" s="147"/>
      <c r="G68" s="147"/>
      <c r="H68" s="147"/>
      <c r="I68" s="227"/>
      <c r="J68" s="227"/>
      <c r="K68" s="228" t="str">
        <f>IF(LEN('3 Correl Data Metro'!B64)&gt;0,'3 Correl Data Metro'!B64,"")</f>
        <v/>
      </c>
      <c r="L68" s="140"/>
      <c r="M68" s="140"/>
      <c r="N68" s="140"/>
      <c r="O68" s="141"/>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1:91">
      <c r="A69" s="147"/>
      <c r="B69" s="147"/>
      <c r="C69" s="147"/>
      <c r="D69" s="147"/>
      <c r="E69" s="147"/>
      <c r="F69" s="147"/>
      <c r="G69" s="147"/>
      <c r="H69" s="147"/>
      <c r="I69" s="227"/>
      <c r="J69" s="227"/>
      <c r="K69" s="228" t="str">
        <f>IF(LEN('3 Correl Data Metro'!B65)&gt;0,'3 Correl Data Metro'!B65,"")</f>
        <v/>
      </c>
      <c r="L69" s="140"/>
      <c r="M69" s="140"/>
      <c r="N69" s="140"/>
      <c r="O69" s="141"/>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1:91">
      <c r="A70" s="147"/>
      <c r="B70" s="147"/>
      <c r="C70" s="147"/>
      <c r="D70" s="147"/>
      <c r="E70" s="147"/>
      <c r="F70" s="147"/>
      <c r="G70" s="147"/>
      <c r="H70" s="147"/>
      <c r="I70" s="227"/>
      <c r="J70" s="227"/>
      <c r="K70" s="228" t="str">
        <f>IF(LEN('3 Correl Data Metro'!B66)&gt;0,'3 Correl Data Metro'!B66,"")</f>
        <v/>
      </c>
      <c r="L70" s="140"/>
      <c r="M70" s="140"/>
      <c r="N70" s="140"/>
      <c r="O70" s="141"/>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1:91">
      <c r="A71" s="147"/>
      <c r="B71" s="147"/>
      <c r="C71" s="147"/>
      <c r="D71" s="147"/>
      <c r="E71" s="147"/>
      <c r="F71" s="147"/>
      <c r="G71" s="147"/>
      <c r="H71" s="147"/>
      <c r="I71" s="227"/>
      <c r="J71" s="227"/>
      <c r="K71" s="228" t="str">
        <f>IF(LEN('3 Correl Data Metro'!B67)&gt;0,'3 Correl Data Metro'!B67,"")</f>
        <v/>
      </c>
      <c r="L71" s="140"/>
      <c r="M71" s="140"/>
      <c r="N71" s="140"/>
      <c r="O71" s="141"/>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1:91">
      <c r="A72" s="147"/>
      <c r="B72" s="147"/>
      <c r="C72" s="147"/>
      <c r="D72" s="147"/>
      <c r="E72" s="147"/>
      <c r="F72" s="147"/>
      <c r="G72" s="147"/>
      <c r="H72" s="147"/>
      <c r="I72" s="227"/>
      <c r="J72" s="227"/>
      <c r="K72" s="228" t="str">
        <f>IF(LEN('3 Correl Data Metro'!B68)&gt;0,'3 Correl Data Metro'!B68,"")</f>
        <v/>
      </c>
      <c r="L72" s="140"/>
      <c r="M72" s="140"/>
      <c r="N72" s="140"/>
      <c r="O72" s="141"/>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1:91">
      <c r="A73" s="147"/>
      <c r="B73" s="147"/>
      <c r="C73" s="147"/>
      <c r="D73" s="147"/>
      <c r="E73" s="147"/>
      <c r="F73" s="147"/>
      <c r="G73" s="147"/>
      <c r="H73" s="147"/>
      <c r="I73" s="227"/>
      <c r="J73" s="227"/>
      <c r="K73" s="228" t="str">
        <f>IF(LEN('3 Correl Data Metro'!B69)&gt;0,'3 Correl Data Metro'!B69,"")</f>
        <v/>
      </c>
      <c r="L73" s="140"/>
      <c r="M73" s="140"/>
      <c r="N73" s="140"/>
      <c r="O73" s="141"/>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1:91">
      <c r="A74" s="147"/>
      <c r="B74" s="147"/>
      <c r="C74" s="147"/>
      <c r="D74" s="147"/>
      <c r="E74" s="147"/>
      <c r="F74" s="147"/>
      <c r="G74" s="147"/>
      <c r="H74" s="147"/>
      <c r="I74" s="227"/>
      <c r="J74" s="227"/>
      <c r="K74" s="228" t="str">
        <f>IF(LEN('3 Correl Data Metro'!B70)&gt;0,'3 Correl Data Metro'!B70,"")</f>
        <v/>
      </c>
      <c r="L74" s="140"/>
      <c r="M74" s="140"/>
      <c r="N74" s="140"/>
      <c r="O74" s="141"/>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1:91">
      <c r="A75" s="147"/>
      <c r="B75" s="147"/>
      <c r="C75" s="147"/>
      <c r="D75" s="147"/>
      <c r="E75" s="147"/>
      <c r="F75" s="147"/>
      <c r="G75" s="147"/>
      <c r="H75" s="147"/>
      <c r="I75" s="227"/>
      <c r="J75" s="227"/>
      <c r="K75" s="228" t="str">
        <f>IF(LEN('3 Correl Data Metro'!B71)&gt;0,'3 Correl Data Metro'!B71,"")</f>
        <v/>
      </c>
      <c r="L75" s="140"/>
      <c r="M75" s="140"/>
      <c r="N75" s="140"/>
      <c r="O75" s="141"/>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1:91">
      <c r="A76" s="147"/>
      <c r="B76" s="147"/>
      <c r="C76" s="147"/>
      <c r="D76" s="147"/>
      <c r="E76" s="147"/>
      <c r="F76" s="147"/>
      <c r="G76" s="147"/>
      <c r="H76" s="147"/>
      <c r="I76" s="227"/>
      <c r="J76" s="227"/>
      <c r="K76" s="228" t="str">
        <f>IF(LEN('3 Correl Data Metro'!B72)&gt;0,'3 Correl Data Metro'!B72,"")</f>
        <v/>
      </c>
      <c r="L76" s="140"/>
      <c r="M76" s="140"/>
      <c r="N76" s="140"/>
      <c r="O76" s="141"/>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1:91">
      <c r="A77" s="147"/>
      <c r="B77" s="147"/>
      <c r="C77" s="147"/>
      <c r="D77" s="147"/>
      <c r="E77" s="147"/>
      <c r="F77" s="147"/>
      <c r="G77" s="147"/>
      <c r="H77" s="147"/>
      <c r="I77" s="227"/>
      <c r="J77" s="227"/>
      <c r="K77" s="228" t="str">
        <f>IF(LEN('3 Correl Data Metro'!B73)&gt;0,'3 Correl Data Metro'!B73,"")</f>
        <v/>
      </c>
      <c r="L77" s="140"/>
      <c r="M77" s="140"/>
      <c r="N77" s="140"/>
      <c r="O77" s="141"/>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1:91">
      <c r="A78" s="147"/>
      <c r="B78" s="147"/>
      <c r="C78" s="147"/>
      <c r="D78" s="147"/>
      <c r="E78" s="147"/>
      <c r="F78" s="147"/>
      <c r="G78" s="147"/>
      <c r="H78" s="147"/>
      <c r="I78" s="227"/>
      <c r="J78" s="227"/>
      <c r="K78" s="228" t="str">
        <f>IF(LEN('3 Correl Data Metro'!B74)&gt;0,'3 Correl Data Metro'!B74,"")</f>
        <v/>
      </c>
      <c r="L78" s="140"/>
      <c r="M78" s="140"/>
      <c r="N78" s="140"/>
      <c r="O78" s="141"/>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1:91">
      <c r="A79" s="147"/>
      <c r="B79" s="147"/>
      <c r="C79" s="147"/>
      <c r="D79" s="147"/>
      <c r="E79" s="147"/>
      <c r="F79" s="147"/>
      <c r="G79" s="147"/>
      <c r="H79" s="147"/>
      <c r="I79" s="227"/>
      <c r="J79" s="227"/>
      <c r="K79" s="228" t="str">
        <f>IF(LEN('3 Correl Data Metro'!B75)&gt;0,'3 Correl Data Metro'!B75,"")</f>
        <v/>
      </c>
      <c r="L79" s="140"/>
      <c r="M79" s="140"/>
      <c r="N79" s="140"/>
      <c r="O79" s="141"/>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1:91">
      <c r="A80" s="147"/>
      <c r="B80" s="147"/>
      <c r="C80" s="147"/>
      <c r="D80" s="147"/>
      <c r="E80" s="147"/>
      <c r="F80" s="147"/>
      <c r="G80" s="147"/>
      <c r="H80" s="147"/>
      <c r="I80" s="227"/>
      <c r="J80" s="227"/>
      <c r="K80" s="228" t="str">
        <f>IF(LEN('3 Correl Data Metro'!B76)&gt;0,'3 Correl Data Metro'!B76,"")</f>
        <v/>
      </c>
      <c r="L80" s="140"/>
      <c r="M80" s="140"/>
      <c r="N80" s="140"/>
      <c r="O80" s="141"/>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1:91">
      <c r="A81" s="147"/>
      <c r="B81" s="147"/>
      <c r="C81" s="147"/>
      <c r="D81" s="147"/>
      <c r="E81" s="147"/>
      <c r="F81" s="147"/>
      <c r="G81" s="147"/>
      <c r="H81" s="147"/>
      <c r="I81" s="227"/>
      <c r="J81" s="227"/>
      <c r="K81" s="228" t="str">
        <f>IF(LEN('3 Correl Data Metro'!B77)&gt;0,'3 Correl Data Metro'!B77,"")</f>
        <v/>
      </c>
      <c r="L81" s="140"/>
      <c r="M81" s="140"/>
      <c r="N81" s="140"/>
      <c r="O81" s="141"/>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1:91">
      <c r="A82" s="147"/>
      <c r="B82" s="147"/>
      <c r="C82" s="147"/>
      <c r="D82" s="147"/>
      <c r="E82" s="147"/>
      <c r="F82" s="147"/>
      <c r="G82" s="147"/>
      <c r="H82" s="147"/>
      <c r="I82" s="227"/>
      <c r="J82" s="227"/>
      <c r="K82" s="228" t="str">
        <f>IF(LEN('3 Correl Data Metro'!B78)&gt;0,'3 Correl Data Metro'!B78,"")</f>
        <v/>
      </c>
      <c r="L82" s="140"/>
      <c r="M82" s="140"/>
      <c r="N82" s="140"/>
      <c r="O82" s="141"/>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1:91">
      <c r="A83" s="147"/>
      <c r="B83" s="147"/>
      <c r="C83" s="147"/>
      <c r="D83" s="147"/>
      <c r="E83" s="147"/>
      <c r="F83" s="147"/>
      <c r="G83" s="147"/>
      <c r="H83" s="147"/>
      <c r="I83" s="227"/>
      <c r="J83" s="227"/>
      <c r="K83" s="228" t="str">
        <f>IF(LEN('3 Correl Data Metro'!B79)&gt;0,'3 Correl Data Metro'!B79,"")</f>
        <v/>
      </c>
      <c r="L83" s="140"/>
      <c r="M83" s="140"/>
      <c r="N83" s="140"/>
      <c r="O83" s="141"/>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1:91">
      <c r="A84" s="147"/>
      <c r="B84" s="147"/>
      <c r="C84" s="147"/>
      <c r="D84" s="147"/>
      <c r="E84" s="147"/>
      <c r="F84" s="147"/>
      <c r="G84" s="147"/>
      <c r="H84" s="147"/>
      <c r="I84" s="227"/>
      <c r="J84" s="227"/>
      <c r="K84" s="228" t="str">
        <f>IF(LEN('3 Correl Data Metro'!B80)&gt;0,'3 Correl Data Metro'!B80,"")</f>
        <v/>
      </c>
      <c r="L84" s="140"/>
      <c r="M84" s="140"/>
      <c r="N84" s="140"/>
      <c r="O84" s="141"/>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1:91">
      <c r="A85" s="147"/>
      <c r="B85" s="147"/>
      <c r="C85" s="147"/>
      <c r="D85" s="147"/>
      <c r="E85" s="147"/>
      <c r="F85" s="147"/>
      <c r="G85" s="147"/>
      <c r="H85" s="147"/>
      <c r="I85" s="227"/>
      <c r="J85" s="227"/>
      <c r="K85" s="228" t="str">
        <f>IF(LEN('3 Correl Data Metro'!B81)&gt;0,'3 Correl Data Metro'!B81,"")</f>
        <v/>
      </c>
      <c r="L85" s="140"/>
      <c r="M85" s="140"/>
      <c r="N85" s="140"/>
      <c r="O85" s="141"/>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1:91">
      <c r="A86" s="147"/>
      <c r="B86" s="147"/>
      <c r="C86" s="147"/>
      <c r="D86" s="147"/>
      <c r="E86" s="147"/>
      <c r="F86" s="147"/>
      <c r="G86" s="147"/>
      <c r="H86" s="147"/>
      <c r="I86" s="227"/>
      <c r="J86" s="227"/>
      <c r="K86" s="228" t="str">
        <f>IF(LEN('3 Correl Data Metro'!B82)&gt;0,'3 Correl Data Metro'!B82,"")</f>
        <v/>
      </c>
      <c r="L86" s="140"/>
      <c r="M86" s="140"/>
      <c r="N86" s="140"/>
      <c r="O86" s="141"/>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1:91">
      <c r="A87" s="147"/>
      <c r="B87" s="147"/>
      <c r="C87" s="147"/>
      <c r="D87" s="147"/>
      <c r="E87" s="147"/>
      <c r="F87" s="147"/>
      <c r="G87" s="147"/>
      <c r="H87" s="147"/>
      <c r="I87" s="227"/>
      <c r="J87" s="227"/>
      <c r="K87" s="228" t="str">
        <f>IF(LEN('3 Correl Data Metro'!B83)&gt;0,'3 Correl Data Metro'!B83,"")</f>
        <v/>
      </c>
      <c r="L87" s="140"/>
      <c r="M87" s="140"/>
      <c r="N87" s="140"/>
      <c r="O87" s="141"/>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1:91">
      <c r="A88" s="147"/>
      <c r="B88" s="147"/>
      <c r="C88" s="147"/>
      <c r="D88" s="147"/>
      <c r="E88" s="147"/>
      <c r="F88" s="147"/>
      <c r="G88" s="147"/>
      <c r="H88" s="147"/>
      <c r="I88" s="227"/>
      <c r="J88" s="227"/>
      <c r="K88" s="228" t="str">
        <f>IF(LEN('3 Correl Data Metro'!B84)&gt;0,'3 Correl Data Metro'!B84,"")</f>
        <v/>
      </c>
      <c r="L88" s="140"/>
      <c r="M88" s="140"/>
      <c r="N88" s="140"/>
      <c r="O88" s="141"/>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1:91">
      <c r="A89" s="147"/>
      <c r="B89" s="147"/>
      <c r="C89" s="147"/>
      <c r="D89" s="147"/>
      <c r="E89" s="147"/>
      <c r="F89" s="147"/>
      <c r="G89" s="147"/>
      <c r="H89" s="147"/>
      <c r="I89" s="227"/>
      <c r="J89" s="227"/>
      <c r="K89" s="228" t="str">
        <f>IF(LEN('3 Correl Data Metro'!B85)&gt;0,'3 Correl Data Metro'!B85,"")</f>
        <v/>
      </c>
      <c r="L89" s="140"/>
      <c r="M89" s="140"/>
      <c r="N89" s="140"/>
      <c r="O89" s="141"/>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1:91">
      <c r="A90" s="147"/>
      <c r="B90" s="147"/>
      <c r="C90" s="147"/>
      <c r="D90" s="147"/>
      <c r="E90" s="147"/>
      <c r="F90" s="147"/>
      <c r="G90" s="147"/>
      <c r="H90" s="147"/>
      <c r="I90" s="227"/>
      <c r="J90" s="227"/>
      <c r="K90" s="228" t="str">
        <f>IF(LEN('3 Correl Data Metro'!B86)&gt;0,'3 Correl Data Metro'!B86,"")</f>
        <v/>
      </c>
      <c r="L90" s="140"/>
      <c r="M90" s="140"/>
      <c r="N90" s="140"/>
      <c r="O90" s="141"/>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1:91">
      <c r="A91" s="147"/>
      <c r="B91" s="147"/>
      <c r="C91" s="147"/>
      <c r="D91" s="147"/>
      <c r="E91" s="147"/>
      <c r="F91" s="147"/>
      <c r="G91" s="147"/>
      <c r="H91" s="147"/>
      <c r="I91" s="227"/>
      <c r="J91" s="227"/>
      <c r="K91" s="228" t="str">
        <f>IF(LEN('3 Correl Data Metro'!B87)&gt;0,'3 Correl Data Metro'!B87,"")</f>
        <v/>
      </c>
      <c r="L91" s="140"/>
      <c r="M91" s="140"/>
      <c r="N91" s="140"/>
      <c r="O91" s="141"/>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1:91">
      <c r="A92" s="147"/>
      <c r="B92" s="147"/>
      <c r="C92" s="147"/>
      <c r="D92" s="147"/>
      <c r="E92" s="147"/>
      <c r="F92" s="147"/>
      <c r="G92" s="147"/>
      <c r="H92" s="147"/>
      <c r="I92" s="227"/>
      <c r="J92" s="227"/>
      <c r="K92" s="228" t="str">
        <f>IF(LEN('3 Correl Data Metro'!B88)&gt;0,'3 Correl Data Metro'!B88,"")</f>
        <v/>
      </c>
      <c r="L92" s="140"/>
      <c r="M92" s="140"/>
      <c r="N92" s="140"/>
      <c r="O92" s="141"/>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1:91">
      <c r="A93" s="147"/>
      <c r="B93" s="147"/>
      <c r="C93" s="147"/>
      <c r="D93" s="147"/>
      <c r="E93" s="147"/>
      <c r="F93" s="147"/>
      <c r="G93" s="147"/>
      <c r="H93" s="147"/>
      <c r="I93" s="227"/>
      <c r="J93" s="227"/>
      <c r="K93" s="228" t="str">
        <f>IF(LEN('3 Correl Data Metro'!B89)&gt;0,'3 Correl Data Metro'!B89,"")</f>
        <v/>
      </c>
      <c r="L93" s="140"/>
      <c r="M93" s="140"/>
      <c r="N93" s="140"/>
      <c r="O93" s="141"/>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1:91">
      <c r="A94" s="147"/>
      <c r="B94" s="147"/>
      <c r="C94" s="147"/>
      <c r="D94" s="147"/>
      <c r="E94" s="147"/>
      <c r="F94" s="147"/>
      <c r="G94" s="147"/>
      <c r="H94" s="147"/>
      <c r="I94" s="227"/>
      <c r="J94" s="227"/>
      <c r="K94" s="228" t="str">
        <f>IF(LEN('3 Correl Data Metro'!B90)&gt;0,'3 Correl Data Metro'!B90,"")</f>
        <v/>
      </c>
      <c r="L94" s="140"/>
      <c r="M94" s="140"/>
      <c r="N94" s="140"/>
      <c r="O94" s="141"/>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1:91">
      <c r="A95" s="147"/>
      <c r="B95" s="147"/>
      <c r="C95" s="147"/>
      <c r="D95" s="147"/>
      <c r="E95" s="147"/>
      <c r="F95" s="147"/>
      <c r="G95" s="147"/>
      <c r="H95" s="147"/>
      <c r="I95" s="227"/>
      <c r="J95" s="227"/>
      <c r="K95" s="228" t="str">
        <f>IF(LEN('3 Correl Data Metro'!B91)&gt;0,'3 Correl Data Metro'!B91,"")</f>
        <v/>
      </c>
      <c r="L95" s="140"/>
      <c r="M95" s="140"/>
      <c r="N95" s="140"/>
      <c r="O95" s="141"/>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1:91">
      <c r="A96" s="147"/>
      <c r="B96" s="147"/>
      <c r="C96" s="147"/>
      <c r="D96" s="147"/>
      <c r="E96" s="147"/>
      <c r="F96" s="147"/>
      <c r="G96" s="147"/>
      <c r="H96" s="147"/>
      <c r="I96" s="227"/>
      <c r="J96" s="227"/>
      <c r="K96" s="228" t="str">
        <f>IF(LEN('3 Correl Data Metro'!B92)&gt;0,'3 Correl Data Metro'!B92,"")</f>
        <v/>
      </c>
      <c r="L96" s="140"/>
      <c r="M96" s="140"/>
      <c r="N96" s="140"/>
      <c r="O96" s="141"/>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1:91">
      <c r="A97" s="147"/>
      <c r="B97" s="147"/>
      <c r="C97" s="147"/>
      <c r="D97" s="147"/>
      <c r="E97" s="147"/>
      <c r="F97" s="147"/>
      <c r="G97" s="147"/>
      <c r="H97" s="147"/>
      <c r="I97" s="227"/>
      <c r="J97" s="227"/>
      <c r="K97" s="228" t="str">
        <f>IF(LEN('3 Correl Data Metro'!B93)&gt;0,'3 Correl Data Metro'!B93,"")</f>
        <v/>
      </c>
      <c r="L97" s="140"/>
      <c r="M97" s="140"/>
      <c r="N97" s="140"/>
      <c r="O97" s="141"/>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1:91">
      <c r="A98" s="147"/>
      <c r="B98" s="147"/>
      <c r="C98" s="147"/>
      <c r="D98" s="147"/>
      <c r="E98" s="147"/>
      <c r="F98" s="147"/>
      <c r="G98" s="147"/>
      <c r="H98" s="147"/>
      <c r="I98" s="227"/>
      <c r="J98" s="227"/>
      <c r="K98" s="228" t="str">
        <f>IF(LEN('3 Correl Data Metro'!B94)&gt;0,'3 Correl Data Metro'!B94,"")</f>
        <v/>
      </c>
      <c r="L98" s="140"/>
      <c r="M98" s="140"/>
      <c r="N98" s="140"/>
      <c r="O98" s="141"/>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1:91">
      <c r="A99" s="147"/>
      <c r="B99" s="147"/>
      <c r="C99" s="147"/>
      <c r="D99" s="147"/>
      <c r="E99" s="147"/>
      <c r="F99" s="147"/>
      <c r="G99" s="147"/>
      <c r="H99" s="147"/>
      <c r="I99" s="227"/>
      <c r="J99" s="227"/>
      <c r="K99" s="228" t="str">
        <f>IF(LEN('3 Correl Data Metro'!B95)&gt;0,'3 Correl Data Metro'!B95,"")</f>
        <v/>
      </c>
      <c r="L99" s="140"/>
      <c r="M99" s="140"/>
      <c r="N99" s="140"/>
      <c r="O99" s="141"/>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1:91">
      <c r="A100" s="147"/>
      <c r="B100" s="147"/>
      <c r="C100" s="147"/>
      <c r="D100" s="147"/>
      <c r="E100" s="147"/>
      <c r="F100" s="147"/>
      <c r="G100" s="147"/>
      <c r="H100" s="147"/>
      <c r="I100" s="227"/>
      <c r="J100" s="227"/>
      <c r="K100" s="228" t="str">
        <f>IF(LEN('3 Correl Data Metro'!B96)&gt;0,'3 Correl Data Metro'!B96,"")</f>
        <v/>
      </c>
      <c r="L100" s="140"/>
      <c r="M100" s="140"/>
      <c r="N100" s="140"/>
      <c r="O100" s="141"/>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1:91">
      <c r="A101" s="147"/>
      <c r="B101" s="147"/>
      <c r="C101" s="147"/>
      <c r="D101" s="147"/>
      <c r="E101" s="147"/>
      <c r="F101" s="147"/>
      <c r="G101" s="147"/>
      <c r="H101" s="147"/>
      <c r="I101" s="227"/>
      <c r="J101" s="227"/>
      <c r="K101" s="228" t="str">
        <f>IF(LEN('3 Correl Data Metro'!B97)&gt;0,'3 Correl Data Metro'!B97,"")</f>
        <v/>
      </c>
      <c r="L101" s="140"/>
      <c r="M101" s="140"/>
      <c r="N101" s="140"/>
      <c r="O101" s="141"/>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1:91">
      <c r="A102" s="147"/>
      <c r="B102" s="147"/>
      <c r="C102" s="147"/>
      <c r="D102" s="147"/>
      <c r="E102" s="147"/>
      <c r="F102" s="147"/>
      <c r="G102" s="147"/>
      <c r="H102" s="147"/>
      <c r="I102" s="227"/>
      <c r="J102" s="227"/>
      <c r="K102" s="228" t="str">
        <f>IF(LEN('3 Correl Data Metro'!B98)&gt;0,'3 Correl Data Metro'!B98,"")</f>
        <v/>
      </c>
      <c r="L102" s="140"/>
      <c r="M102" s="140"/>
      <c r="N102" s="140"/>
      <c r="O102" s="141"/>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1:91">
      <c r="A103" s="147"/>
      <c r="B103" s="147"/>
      <c r="C103" s="147"/>
      <c r="D103" s="147"/>
      <c r="E103" s="147"/>
      <c r="F103" s="147"/>
      <c r="G103" s="147"/>
      <c r="H103" s="147"/>
      <c r="I103" s="227"/>
      <c r="J103" s="227"/>
      <c r="K103" s="228" t="str">
        <f>IF(LEN('3 Correl Data Metro'!B99)&gt;0,'3 Correl Data Metro'!B99,"")</f>
        <v/>
      </c>
      <c r="L103" s="140"/>
      <c r="M103" s="140"/>
      <c r="N103" s="140"/>
      <c r="O103" s="141"/>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1:91">
      <c r="A104" s="147"/>
      <c r="B104" s="147"/>
      <c r="C104" s="147"/>
      <c r="D104" s="147"/>
      <c r="E104" s="147"/>
      <c r="F104" s="147"/>
      <c r="G104" s="147"/>
      <c r="H104" s="147"/>
      <c r="I104" s="227"/>
      <c r="J104" s="227"/>
      <c r="K104" s="228" t="str">
        <f>IF(LEN('3 Correl Data Metro'!B100)&gt;0,'3 Correl Data Metro'!B100,"")</f>
        <v/>
      </c>
      <c r="L104" s="140"/>
      <c r="M104" s="140"/>
      <c r="N104" s="140"/>
      <c r="O104" s="141"/>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1:91">
      <c r="A105" s="147"/>
      <c r="B105" s="147"/>
      <c r="C105" s="147"/>
      <c r="D105" s="147"/>
      <c r="E105" s="147"/>
      <c r="F105" s="147"/>
      <c r="G105" s="147"/>
      <c r="H105" s="147"/>
      <c r="I105" s="227"/>
      <c r="J105" s="227"/>
      <c r="K105" s="228" t="str">
        <f>IF(LEN('3 Correl Data Metro'!B101)&gt;0,'3 Correl Data Metro'!B101,"")</f>
        <v/>
      </c>
      <c r="L105" s="140"/>
      <c r="M105" s="140"/>
      <c r="N105" s="140"/>
      <c r="O105" s="141"/>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1:91">
      <c r="A106" s="147"/>
      <c r="B106" s="147"/>
      <c r="C106" s="147"/>
      <c r="D106" s="147"/>
      <c r="E106" s="147"/>
      <c r="F106" s="147"/>
      <c r="G106" s="147"/>
      <c r="H106" s="147"/>
      <c r="I106" s="227"/>
      <c r="J106" s="227"/>
      <c r="K106" s="228" t="str">
        <f>IF(LEN('3 Correl Data Metro'!B102)&gt;0,'3 Correl Data Metro'!B102,"")</f>
        <v/>
      </c>
      <c r="L106" s="140"/>
      <c r="M106" s="140"/>
      <c r="N106" s="140"/>
      <c r="O106" s="141"/>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1:91">
      <c r="A107" s="147"/>
      <c r="B107" s="147"/>
      <c r="C107" s="147"/>
      <c r="D107" s="147"/>
      <c r="E107" s="147"/>
      <c r="F107" s="147"/>
      <c r="G107" s="147"/>
      <c r="H107" s="147"/>
      <c r="I107" s="227"/>
      <c r="J107" s="227"/>
      <c r="K107" s="228" t="str">
        <f>IF(LEN('3 Correl Data Metro'!B103)&gt;0,'3 Correl Data Metro'!B103,"")</f>
        <v/>
      </c>
      <c r="L107" s="140"/>
      <c r="M107" s="140"/>
      <c r="N107" s="140"/>
      <c r="O107" s="141"/>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1:91">
      <c r="A108" s="147"/>
      <c r="B108" s="147"/>
      <c r="C108" s="147"/>
      <c r="D108" s="147"/>
      <c r="E108" s="147"/>
      <c r="F108" s="147"/>
      <c r="G108" s="147"/>
      <c r="H108" s="147"/>
      <c r="I108" s="227"/>
      <c r="J108" s="227"/>
      <c r="K108" s="228" t="str">
        <f>IF(LEN('3 Correl Data Metro'!B104)&gt;0,'3 Correl Data Metro'!B104,"")</f>
        <v/>
      </c>
      <c r="L108" s="140"/>
      <c r="M108" s="140"/>
      <c r="N108" s="140"/>
      <c r="O108" s="141"/>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1:91">
      <c r="A109" s="147"/>
      <c r="B109" s="147"/>
      <c r="C109" s="147"/>
      <c r="D109" s="147"/>
      <c r="E109" s="147"/>
      <c r="F109" s="147"/>
      <c r="G109" s="147"/>
      <c r="H109" s="147"/>
      <c r="I109" s="227"/>
      <c r="J109" s="227"/>
      <c r="K109" s="228" t="str">
        <f>IF(LEN('3 Correl Data Metro'!B105)&gt;0,'3 Correl Data Metro'!B105,"")</f>
        <v/>
      </c>
      <c r="L109" s="140"/>
      <c r="M109" s="140"/>
      <c r="N109" s="140"/>
      <c r="O109" s="141"/>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1:91">
      <c r="A110" s="147"/>
      <c r="B110" s="147"/>
      <c r="C110" s="147"/>
      <c r="D110" s="147"/>
      <c r="E110" s="147"/>
      <c r="F110" s="147"/>
      <c r="G110" s="147"/>
      <c r="H110" s="147"/>
      <c r="I110" s="227"/>
      <c r="J110" s="227"/>
      <c r="K110" s="228" t="str">
        <f>IF(LEN('3 Correl Data Metro'!B106)&gt;0,'3 Correl Data Metro'!B106,"")</f>
        <v/>
      </c>
      <c r="L110" s="140"/>
      <c r="M110" s="140"/>
      <c r="N110" s="140"/>
      <c r="O110" s="141"/>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1:91">
      <c r="A111" s="147"/>
      <c r="B111" s="147"/>
      <c r="C111" s="147"/>
      <c r="D111" s="147"/>
      <c r="E111" s="147"/>
      <c r="F111" s="147"/>
      <c r="G111" s="147"/>
      <c r="H111" s="147"/>
      <c r="I111" s="227"/>
      <c r="J111" s="227"/>
      <c r="K111" s="228" t="str">
        <f>IF(LEN('3 Correl Data Metro'!B107)&gt;0,'3 Correl Data Metro'!B107,"")</f>
        <v/>
      </c>
      <c r="L111" s="140"/>
      <c r="M111" s="140"/>
      <c r="N111" s="140"/>
      <c r="O111" s="141"/>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1:91">
      <c r="A112" s="147"/>
      <c r="B112" s="147"/>
      <c r="C112" s="147"/>
      <c r="D112" s="147"/>
      <c r="E112" s="147"/>
      <c r="F112" s="147"/>
      <c r="G112" s="147"/>
      <c r="H112" s="147"/>
      <c r="I112" s="227"/>
      <c r="J112" s="227"/>
      <c r="K112" s="228" t="str">
        <f>IF(LEN('3 Correl Data Metro'!B108)&gt;0,'3 Correl Data Metro'!B108,"")</f>
        <v/>
      </c>
      <c r="L112" s="140"/>
      <c r="M112" s="140"/>
      <c r="N112" s="140"/>
      <c r="O112" s="141"/>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1:91">
      <c r="A113" s="147"/>
      <c r="B113" s="147"/>
      <c r="C113" s="147"/>
      <c r="D113" s="147"/>
      <c r="E113" s="147"/>
      <c r="F113" s="147"/>
      <c r="G113" s="147"/>
      <c r="H113" s="147"/>
      <c r="I113" s="227"/>
      <c r="J113" s="227"/>
      <c r="K113" s="228" t="str">
        <f>IF(LEN('3 Correl Data Metro'!B109)&gt;0,'3 Correl Data Metro'!B109,"")</f>
        <v/>
      </c>
      <c r="L113" s="140"/>
      <c r="M113" s="140"/>
      <c r="N113" s="140"/>
      <c r="O113" s="141"/>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1:91">
      <c r="A114" s="147"/>
      <c r="B114" s="147"/>
      <c r="C114" s="147"/>
      <c r="D114" s="147"/>
      <c r="E114" s="147"/>
      <c r="F114" s="147"/>
      <c r="G114" s="147"/>
      <c r="H114" s="147"/>
      <c r="I114" s="227"/>
      <c r="J114" s="227"/>
      <c r="K114" s="228" t="str">
        <f>IF(LEN('3 Correl Data Metro'!B110)&gt;0,'3 Correl Data Metro'!B110,"")</f>
        <v/>
      </c>
      <c r="L114" s="140"/>
      <c r="M114" s="140"/>
      <c r="N114" s="140"/>
      <c r="O114" s="141"/>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1:91">
      <c r="A115" s="147"/>
      <c r="B115" s="147"/>
      <c r="C115" s="147"/>
      <c r="D115" s="147"/>
      <c r="E115" s="147"/>
      <c r="F115" s="147"/>
      <c r="G115" s="147"/>
      <c r="H115" s="147"/>
      <c r="I115" s="227"/>
      <c r="J115" s="227"/>
      <c r="K115" s="228" t="str">
        <f>IF(LEN('3 Correl Data Metro'!B111)&gt;0,'3 Correl Data Metro'!B111,"")</f>
        <v/>
      </c>
      <c r="L115" s="140"/>
      <c r="M115" s="140"/>
      <c r="N115" s="140"/>
      <c r="O115" s="141"/>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1:91">
      <c r="A116" s="147"/>
      <c r="B116" s="147"/>
      <c r="C116" s="147"/>
      <c r="D116" s="147"/>
      <c r="E116" s="147"/>
      <c r="F116" s="147"/>
      <c r="G116" s="147"/>
      <c r="H116" s="147"/>
      <c r="I116" s="227"/>
      <c r="J116" s="227"/>
      <c r="K116" s="228" t="str">
        <f>IF(LEN('3 Correl Data Metro'!B112)&gt;0,'3 Correl Data Metro'!B112,"")</f>
        <v/>
      </c>
      <c r="L116" s="140"/>
      <c r="M116" s="140"/>
      <c r="N116" s="140"/>
      <c r="O116" s="141"/>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1:91">
      <c r="A117" s="147"/>
      <c r="B117" s="147"/>
      <c r="C117" s="147"/>
      <c r="D117" s="147"/>
      <c r="E117" s="147"/>
      <c r="F117" s="147"/>
      <c r="G117" s="147"/>
      <c r="H117" s="147"/>
      <c r="I117" s="227"/>
      <c r="J117" s="227"/>
      <c r="K117" s="228" t="str">
        <f>IF(LEN('3 Correl Data Metro'!B113)&gt;0,'3 Correl Data Metro'!B113,"")</f>
        <v/>
      </c>
      <c r="L117" s="140"/>
      <c r="M117" s="140"/>
      <c r="N117" s="140"/>
      <c r="O117" s="141"/>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1:91">
      <c r="A118" s="147"/>
      <c r="B118" s="147"/>
      <c r="C118" s="147"/>
      <c r="D118" s="147"/>
      <c r="E118" s="147"/>
      <c r="F118" s="147"/>
      <c r="G118" s="147"/>
      <c r="H118" s="147"/>
      <c r="I118" s="227"/>
      <c r="J118" s="227"/>
      <c r="K118" s="228" t="str">
        <f>IF(LEN('3 Correl Data Metro'!B114)&gt;0,'3 Correl Data Metro'!B114,"")</f>
        <v/>
      </c>
      <c r="L118" s="140"/>
      <c r="M118" s="140"/>
      <c r="N118" s="140"/>
      <c r="O118" s="141"/>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1:91">
      <c r="A119" s="147"/>
      <c r="B119" s="147"/>
      <c r="C119" s="147"/>
      <c r="D119" s="147"/>
      <c r="E119" s="147"/>
      <c r="F119" s="147"/>
      <c r="G119" s="147"/>
      <c r="H119" s="147"/>
      <c r="I119" s="227"/>
      <c r="J119" s="227"/>
      <c r="K119" s="228" t="str">
        <f>IF(LEN('3 Correl Data Metro'!B115)&gt;0,'3 Correl Data Metro'!B115,"")</f>
        <v/>
      </c>
      <c r="L119" s="140"/>
      <c r="M119" s="140"/>
      <c r="N119" s="140"/>
      <c r="O119" s="141"/>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1:91">
      <c r="A120" s="147"/>
      <c r="B120" s="147"/>
      <c r="C120" s="147"/>
      <c r="D120" s="147"/>
      <c r="E120" s="147"/>
      <c r="F120" s="147"/>
      <c r="G120" s="147"/>
      <c r="H120" s="147"/>
      <c r="I120" s="227"/>
      <c r="J120" s="227"/>
      <c r="K120" s="228" t="str">
        <f>IF(LEN('3 Correl Data Metro'!B116)&gt;0,'3 Correl Data Metro'!B116,"")</f>
        <v/>
      </c>
      <c r="L120" s="140"/>
      <c r="M120" s="140"/>
      <c r="N120" s="140"/>
      <c r="O120" s="141"/>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1:91">
      <c r="A121" s="147"/>
      <c r="B121" s="147"/>
      <c r="C121" s="147"/>
      <c r="D121" s="147"/>
      <c r="E121" s="147"/>
      <c r="F121" s="147"/>
      <c r="G121" s="147"/>
      <c r="H121" s="147"/>
      <c r="I121" s="227"/>
      <c r="J121" s="227"/>
      <c r="K121" s="228" t="str">
        <f>IF(LEN('3 Correl Data Metro'!B117)&gt;0,'3 Correl Data Metro'!B117,"")</f>
        <v/>
      </c>
      <c r="L121" s="140"/>
      <c r="M121" s="140"/>
      <c r="N121" s="140"/>
      <c r="O121" s="141"/>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1:91">
      <c r="A122" s="147"/>
      <c r="B122" s="147"/>
      <c r="C122" s="147"/>
      <c r="D122" s="147"/>
      <c r="E122" s="147"/>
      <c r="F122" s="147"/>
      <c r="G122" s="147"/>
      <c r="H122" s="147"/>
      <c r="I122" s="227"/>
      <c r="J122" s="227"/>
      <c r="K122" s="228" t="str">
        <f>IF(LEN('3 Correl Data Metro'!B118)&gt;0,'3 Correl Data Metro'!B118,"")</f>
        <v/>
      </c>
      <c r="L122" s="140"/>
      <c r="M122" s="140"/>
      <c r="N122" s="140"/>
      <c r="O122" s="141"/>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1:91">
      <c r="A123" s="147"/>
      <c r="B123" s="147"/>
      <c r="C123" s="147"/>
      <c r="D123" s="147"/>
      <c r="E123" s="147"/>
      <c r="F123" s="147"/>
      <c r="G123" s="147"/>
      <c r="H123" s="147"/>
      <c r="I123" s="227"/>
      <c r="J123" s="227"/>
      <c r="K123" s="228" t="str">
        <f>IF(LEN('3 Correl Data Metro'!B119)&gt;0,'3 Correl Data Metro'!B119,"")</f>
        <v/>
      </c>
      <c r="L123" s="140"/>
      <c r="M123" s="140"/>
      <c r="N123" s="140"/>
      <c r="O123" s="141"/>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1:91">
      <c r="A124" s="147"/>
      <c r="B124" s="147"/>
      <c r="C124" s="147"/>
      <c r="D124" s="147"/>
      <c r="E124" s="147"/>
      <c r="F124" s="147"/>
      <c r="G124" s="147"/>
      <c r="H124" s="147"/>
      <c r="I124" s="227"/>
      <c r="J124" s="227"/>
      <c r="K124" s="228" t="str">
        <f>IF(LEN('3 Correl Data Metro'!B120)&gt;0,'3 Correl Data Metro'!B120,"")</f>
        <v/>
      </c>
      <c r="L124" s="140"/>
      <c r="M124" s="140"/>
      <c r="N124" s="140"/>
      <c r="O124" s="141"/>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1:91">
      <c r="A125" s="147"/>
      <c r="B125" s="147"/>
      <c r="C125" s="147"/>
      <c r="D125" s="147"/>
      <c r="E125" s="147"/>
      <c r="F125" s="147"/>
      <c r="G125" s="147"/>
      <c r="H125" s="147"/>
      <c r="I125" s="227"/>
      <c r="J125" s="227"/>
      <c r="K125" s="228" t="str">
        <f>IF(LEN('3 Correl Data Metro'!B121)&gt;0,'3 Correl Data Metro'!B121,"")</f>
        <v/>
      </c>
      <c r="L125" s="140"/>
      <c r="M125" s="140"/>
      <c r="N125" s="140"/>
      <c r="O125" s="141"/>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1:91">
      <c r="A126" s="147"/>
      <c r="B126" s="147"/>
      <c r="C126" s="147"/>
      <c r="D126" s="147"/>
      <c r="E126" s="147"/>
      <c r="F126" s="147"/>
      <c r="G126" s="147"/>
      <c r="H126" s="147"/>
      <c r="I126" s="227"/>
      <c r="J126" s="227"/>
      <c r="K126" s="228" t="str">
        <f>IF(LEN('3 Correl Data Metro'!B122)&gt;0,'3 Correl Data Metro'!B122,"")</f>
        <v/>
      </c>
      <c r="L126" s="140"/>
      <c r="M126" s="140"/>
      <c r="N126" s="140"/>
      <c r="O126" s="141"/>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1:91">
      <c r="A127" s="147"/>
      <c r="B127" s="147"/>
      <c r="C127" s="147"/>
      <c r="D127" s="147"/>
      <c r="E127" s="147"/>
      <c r="F127" s="147"/>
      <c r="G127" s="147"/>
      <c r="H127" s="147"/>
      <c r="I127" s="227"/>
      <c r="J127" s="227"/>
      <c r="K127" s="228" t="str">
        <f>IF(LEN('3 Correl Data Metro'!B123)&gt;0,'3 Correl Data Metro'!B123,"")</f>
        <v/>
      </c>
      <c r="L127" s="140"/>
      <c r="M127" s="140"/>
      <c r="N127" s="140"/>
      <c r="O127" s="141"/>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1:91">
      <c r="A128" s="147"/>
      <c r="B128" s="147"/>
      <c r="C128" s="147"/>
      <c r="D128" s="147"/>
      <c r="E128" s="147"/>
      <c r="F128" s="147"/>
      <c r="G128" s="147"/>
      <c r="H128" s="147"/>
      <c r="I128" s="227"/>
      <c r="J128" s="227"/>
      <c r="K128" s="228" t="str">
        <f>IF(LEN('3 Correl Data Metro'!B124)&gt;0,'3 Correl Data Metro'!B124,"")</f>
        <v/>
      </c>
      <c r="L128" s="140"/>
      <c r="M128" s="140"/>
      <c r="N128" s="140"/>
      <c r="O128" s="141"/>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1:91">
      <c r="A129" s="147"/>
      <c r="B129" s="147"/>
      <c r="C129" s="147"/>
      <c r="D129" s="147"/>
      <c r="E129" s="147"/>
      <c r="F129" s="147"/>
      <c r="G129" s="147"/>
      <c r="H129" s="147"/>
      <c r="I129" s="227"/>
      <c r="J129" s="227"/>
      <c r="K129" s="228" t="str">
        <f>IF(LEN('3 Correl Data Metro'!B125)&gt;0,'3 Correl Data Metro'!B125,"")</f>
        <v/>
      </c>
      <c r="L129" s="140"/>
      <c r="M129" s="140"/>
      <c r="N129" s="140"/>
      <c r="O129" s="141"/>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1:91">
      <c r="A130" s="147"/>
      <c r="B130" s="147"/>
      <c r="C130" s="147"/>
      <c r="D130" s="147"/>
      <c r="E130" s="147"/>
      <c r="F130" s="147"/>
      <c r="G130" s="147"/>
      <c r="H130" s="147"/>
      <c r="I130" s="227"/>
      <c r="J130" s="227"/>
      <c r="K130" s="228" t="str">
        <f>IF(LEN('3 Correl Data Metro'!B126)&gt;0,'3 Correl Data Metro'!B126,"")</f>
        <v/>
      </c>
      <c r="L130" s="140"/>
      <c r="M130" s="140"/>
      <c r="N130" s="140"/>
      <c r="O130" s="141"/>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1:91">
      <c r="A131" s="147"/>
      <c r="B131" s="147"/>
      <c r="C131" s="147"/>
      <c r="D131" s="147"/>
      <c r="E131" s="147"/>
      <c r="F131" s="147"/>
      <c r="G131" s="147"/>
      <c r="H131" s="147"/>
      <c r="I131" s="227"/>
      <c r="J131" s="227"/>
      <c r="K131" s="228" t="str">
        <f>IF(LEN('3 Correl Data Metro'!B127)&gt;0,'3 Correl Data Metro'!B127,"")</f>
        <v/>
      </c>
      <c r="L131" s="140"/>
      <c r="M131" s="140"/>
      <c r="N131" s="140"/>
      <c r="O131" s="141"/>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1:91">
      <c r="A132" s="147"/>
      <c r="B132" s="147"/>
      <c r="C132" s="147"/>
      <c r="D132" s="147"/>
      <c r="E132" s="147"/>
      <c r="F132" s="147"/>
      <c r="G132" s="147"/>
      <c r="H132" s="147"/>
      <c r="I132" s="227"/>
      <c r="J132" s="227"/>
      <c r="K132" s="228" t="str">
        <f>IF(LEN('3 Correl Data Metro'!B128)&gt;0,'3 Correl Data Metro'!B128,"")</f>
        <v/>
      </c>
      <c r="L132" s="140"/>
      <c r="M132" s="140"/>
      <c r="N132" s="140"/>
      <c r="O132" s="141"/>
      <c r="P132" s="140"/>
      <c r="Q132" s="140"/>
      <c r="R132" s="140"/>
      <c r="S132" s="140"/>
      <c r="T132" s="140"/>
      <c r="U132" s="140"/>
      <c r="V132" s="140"/>
      <c r="W132" s="140"/>
      <c r="X132" s="140"/>
      <c r="Y132" s="140"/>
      <c r="Z132" s="140"/>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1:91">
      <c r="A133" s="147"/>
      <c r="B133" s="147"/>
      <c r="C133" s="147"/>
      <c r="D133" s="147"/>
      <c r="E133" s="147"/>
      <c r="F133" s="147"/>
      <c r="G133" s="147"/>
      <c r="H133" s="147"/>
      <c r="I133" s="227"/>
      <c r="J133" s="227"/>
      <c r="K133" s="228" t="str">
        <f>IF(LEN('3 Correl Data Metro'!B129)&gt;0,'3 Correl Data Metro'!B129,"")</f>
        <v/>
      </c>
      <c r="L133" s="140"/>
      <c r="M133" s="140"/>
      <c r="N133" s="140"/>
      <c r="O133" s="141"/>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1:91">
      <c r="A134" s="147"/>
      <c r="B134" s="147"/>
      <c r="C134" s="147"/>
      <c r="D134" s="147"/>
      <c r="E134" s="147"/>
      <c r="F134" s="147"/>
      <c r="G134" s="147"/>
      <c r="H134" s="147"/>
      <c r="I134" s="227"/>
      <c r="J134" s="227"/>
      <c r="K134" s="228" t="str">
        <f>IF(LEN('3 Correl Data Metro'!B130)&gt;0,'3 Correl Data Metro'!B130,"")</f>
        <v/>
      </c>
      <c r="L134" s="140"/>
      <c r="M134" s="140"/>
      <c r="N134" s="140"/>
      <c r="O134" s="141"/>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1:91">
      <c r="A135" s="147"/>
      <c r="B135" s="147"/>
      <c r="C135" s="147"/>
      <c r="D135" s="147"/>
      <c r="E135" s="147"/>
      <c r="F135" s="147"/>
      <c r="G135" s="147"/>
      <c r="H135" s="147"/>
      <c r="I135" s="227"/>
      <c r="J135" s="227"/>
      <c r="K135" s="228" t="str">
        <f>IF(LEN('3 Correl Data Metro'!B131)&gt;0,'3 Correl Data Metro'!B131,"")</f>
        <v/>
      </c>
      <c r="L135" s="140"/>
      <c r="M135" s="140"/>
      <c r="N135" s="140"/>
      <c r="O135" s="141"/>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1:91">
      <c r="A136" s="147"/>
      <c r="B136" s="147"/>
      <c r="C136" s="147"/>
      <c r="D136" s="147"/>
      <c r="E136" s="147"/>
      <c r="F136" s="147"/>
      <c r="G136" s="147"/>
      <c r="H136" s="147"/>
      <c r="I136" s="227"/>
      <c r="J136" s="227"/>
      <c r="K136" s="228" t="str">
        <f>IF(LEN('3 Correl Data Metro'!B132)&gt;0,'3 Correl Data Metro'!B132,"")</f>
        <v/>
      </c>
      <c r="L136" s="140"/>
      <c r="M136" s="140"/>
      <c r="N136" s="140"/>
      <c r="O136" s="141"/>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1:91">
      <c r="A137" s="147"/>
      <c r="B137" s="147"/>
      <c r="C137" s="147"/>
      <c r="D137" s="147"/>
      <c r="E137" s="147"/>
      <c r="F137" s="147"/>
      <c r="G137" s="147"/>
      <c r="H137" s="147"/>
      <c r="I137" s="227"/>
      <c r="J137" s="227"/>
      <c r="K137" s="228" t="str">
        <f>IF(LEN('3 Correl Data Metro'!B133)&gt;0,'3 Correl Data Metro'!B133,"")</f>
        <v/>
      </c>
      <c r="L137" s="140"/>
      <c r="M137" s="140"/>
      <c r="N137" s="140"/>
      <c r="O137" s="141"/>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1:91">
      <c r="A138" s="147"/>
      <c r="B138" s="147"/>
      <c r="C138" s="147"/>
      <c r="D138" s="147"/>
      <c r="E138" s="147"/>
      <c r="F138" s="147"/>
      <c r="G138" s="147"/>
      <c r="H138" s="147"/>
      <c r="I138" s="227"/>
      <c r="J138" s="227"/>
      <c r="K138" s="228" t="str">
        <f>IF(LEN('3 Correl Data Metro'!B134)&gt;0,'3 Correl Data Metro'!B134,"")</f>
        <v/>
      </c>
      <c r="L138" s="140"/>
      <c r="M138" s="140"/>
      <c r="N138" s="140"/>
      <c r="O138" s="141"/>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1:91">
      <c r="A139" s="147"/>
      <c r="B139" s="147"/>
      <c r="C139" s="147"/>
      <c r="D139" s="147"/>
      <c r="E139" s="147"/>
      <c r="F139" s="147"/>
      <c r="G139" s="147"/>
      <c r="H139" s="147"/>
      <c r="I139" s="227"/>
      <c r="J139" s="227"/>
      <c r="K139" s="228" t="str">
        <f>IF(LEN('3 Correl Data Metro'!B135)&gt;0,'3 Correl Data Metro'!B135,"")</f>
        <v/>
      </c>
      <c r="L139" s="140"/>
      <c r="M139" s="140"/>
      <c r="N139" s="140"/>
      <c r="O139" s="141"/>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1:91">
      <c r="A140" s="147"/>
      <c r="B140" s="147"/>
      <c r="C140" s="147"/>
      <c r="D140" s="147"/>
      <c r="E140" s="147"/>
      <c r="F140" s="147"/>
      <c r="G140" s="147"/>
      <c r="H140" s="147"/>
      <c r="I140" s="227"/>
      <c r="J140" s="227"/>
      <c r="K140" s="228" t="str">
        <f>IF(LEN('3 Correl Data Metro'!B136)&gt;0,'3 Correl Data Metro'!B136,"")</f>
        <v/>
      </c>
      <c r="L140" s="140"/>
      <c r="M140" s="140"/>
      <c r="N140" s="140"/>
      <c r="O140" s="141"/>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1:91">
      <c r="A141" s="147"/>
      <c r="B141" s="147"/>
      <c r="C141" s="147"/>
      <c r="D141" s="147"/>
      <c r="E141" s="147"/>
      <c r="F141" s="147"/>
      <c r="G141" s="147"/>
      <c r="H141" s="147"/>
      <c r="I141" s="227"/>
      <c r="J141" s="227"/>
      <c r="K141" s="228" t="str">
        <f>IF(LEN('3 Correl Data Metro'!B137)&gt;0,'3 Correl Data Metro'!B137,"")</f>
        <v/>
      </c>
      <c r="L141" s="140"/>
      <c r="M141" s="140"/>
      <c r="N141" s="140"/>
      <c r="O141" s="141"/>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1:91">
      <c r="A142" s="147"/>
      <c r="B142" s="147"/>
      <c r="C142" s="147"/>
      <c r="D142" s="147"/>
      <c r="E142" s="147"/>
      <c r="F142" s="147"/>
      <c r="G142" s="147"/>
      <c r="H142" s="147"/>
      <c r="I142" s="227"/>
      <c r="J142" s="227"/>
      <c r="M142" s="140"/>
      <c r="N142" s="140"/>
      <c r="O142" s="141"/>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1:91">
      <c r="A143" s="147"/>
      <c r="B143" s="147"/>
      <c r="C143" s="147"/>
      <c r="D143" s="147"/>
      <c r="E143" s="147"/>
      <c r="F143" s="147"/>
      <c r="G143" s="147"/>
      <c r="H143" s="147"/>
      <c r="I143" s="227"/>
      <c r="J143" s="227"/>
      <c r="M143" s="140"/>
      <c r="N143" s="140"/>
      <c r="O143" s="141"/>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1:91">
      <c r="A144" s="147"/>
      <c r="B144" s="147"/>
      <c r="C144" s="147"/>
      <c r="D144" s="147"/>
      <c r="E144" s="147"/>
      <c r="F144" s="147"/>
      <c r="G144" s="147"/>
      <c r="H144" s="147"/>
      <c r="I144" s="227"/>
      <c r="J144" s="227"/>
      <c r="K144" s="228" t="str">
        <f>IF(LEN('3 Correl Data Metro'!B138)&gt;0,'3 Correl Data Metro'!B138,"")</f>
        <v/>
      </c>
      <c r="M144" s="140"/>
      <c r="N144" s="140"/>
      <c r="O144" s="141"/>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1:91">
      <c r="A145" s="147"/>
      <c r="B145" s="147"/>
      <c r="C145" s="147"/>
      <c r="D145" s="147"/>
      <c r="E145" s="147"/>
      <c r="F145" s="147"/>
      <c r="G145" s="147"/>
      <c r="H145" s="147"/>
      <c r="I145" s="227"/>
      <c r="J145" s="227"/>
      <c r="K145" s="228" t="str">
        <f>IF(LEN('3 Correl Data Metro'!B139)&gt;0,'3 Correl Data Metro'!B139,"")</f>
        <v/>
      </c>
      <c r="L145" s="140"/>
      <c r="M145" s="140"/>
      <c r="N145" s="140"/>
      <c r="O145" s="141"/>
      <c r="P145" s="140"/>
      <c r="Q145" s="140"/>
      <c r="R145" s="140"/>
      <c r="S145" s="140"/>
      <c r="T145" s="140"/>
      <c r="U145" s="140"/>
      <c r="V145" s="140"/>
      <c r="W145" s="140"/>
      <c r="X145" s="140"/>
      <c r="Y145" s="140"/>
      <c r="Z145" s="140"/>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1:91">
      <c r="A146" s="147"/>
      <c r="B146" s="147"/>
      <c r="C146" s="147"/>
      <c r="D146" s="147"/>
      <c r="E146" s="147"/>
      <c r="F146" s="147"/>
      <c r="G146" s="147"/>
      <c r="H146" s="147"/>
      <c r="I146" s="227"/>
      <c r="J146" s="227"/>
      <c r="K146" s="228" t="str">
        <f>IF(LEN('3 Correl Data Metro'!B140)&gt;0,'3 Correl Data Metro'!B140,"")</f>
        <v/>
      </c>
      <c r="L146" s="140"/>
      <c r="M146" s="140"/>
      <c r="N146" s="140"/>
      <c r="O146" s="141"/>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1:91">
      <c r="A147" s="147"/>
      <c r="B147" s="147"/>
      <c r="C147" s="147"/>
      <c r="D147" s="147"/>
      <c r="E147" s="147"/>
      <c r="F147" s="147"/>
      <c r="G147" s="147"/>
      <c r="H147" s="147"/>
      <c r="I147" s="227"/>
      <c r="J147" s="227"/>
      <c r="K147" s="228" t="str">
        <f>IF(LEN('3 Correl Data Metro'!B141)&gt;0,'3 Correl Data Metro'!B141,"")</f>
        <v/>
      </c>
      <c r="L147" s="140"/>
      <c r="M147" s="140"/>
      <c r="N147" s="140"/>
      <c r="O147" s="141"/>
      <c r="P147" s="140"/>
      <c r="Q147" s="140"/>
      <c r="R147" s="140"/>
      <c r="S147" s="140"/>
      <c r="T147" s="140"/>
      <c r="U147" s="140"/>
      <c r="V147" s="140"/>
      <c r="W147" s="140"/>
      <c r="X147" s="140"/>
      <c r="Y147" s="140"/>
      <c r="Z147" s="140"/>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1:91">
      <c r="A148" s="147"/>
      <c r="B148" s="147"/>
      <c r="C148" s="147"/>
      <c r="D148" s="147"/>
      <c r="E148" s="147"/>
      <c r="F148" s="147"/>
      <c r="G148" s="147"/>
      <c r="H148" s="147"/>
      <c r="I148" s="227"/>
      <c r="J148" s="227"/>
      <c r="K148" s="228" t="str">
        <f>IF(LEN('3 Correl Data Metro'!B142)&gt;0,'3 Correl Data Metro'!B142,"")</f>
        <v/>
      </c>
      <c r="L148" s="140"/>
      <c r="M148" s="140"/>
      <c r="N148" s="140"/>
      <c r="O148" s="141"/>
      <c r="P148" s="140"/>
      <c r="Q148" s="140"/>
      <c r="R148" s="140"/>
      <c r="S148" s="140"/>
      <c r="T148" s="140"/>
      <c r="U148" s="140"/>
      <c r="V148" s="140"/>
      <c r="W148" s="140"/>
      <c r="X148" s="140"/>
      <c r="Y148" s="140"/>
      <c r="Z148" s="140"/>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1:91">
      <c r="A149" s="147"/>
      <c r="B149" s="147"/>
      <c r="C149" s="147"/>
      <c r="D149" s="147"/>
      <c r="E149" s="147"/>
      <c r="F149" s="147"/>
      <c r="G149" s="147"/>
      <c r="H149" s="147"/>
      <c r="I149" s="227"/>
      <c r="J149" s="227"/>
      <c r="K149" s="228" t="str">
        <f>IF(LEN('3 Correl Data Metro'!B143)&gt;0,'3 Correl Data Metro'!B143,"")</f>
        <v/>
      </c>
      <c r="L149" s="140"/>
      <c r="M149" s="140"/>
      <c r="N149" s="140"/>
      <c r="O149" s="141"/>
      <c r="P149" s="140"/>
      <c r="Q149" s="140"/>
      <c r="R149" s="140"/>
      <c r="S149" s="140"/>
      <c r="T149" s="140"/>
      <c r="U149" s="140"/>
      <c r="V149" s="140"/>
      <c r="W149" s="140"/>
      <c r="X149" s="140"/>
      <c r="Y149" s="140"/>
      <c r="Z149" s="140"/>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1:91">
      <c r="A150" s="147"/>
      <c r="B150" s="147"/>
      <c r="C150" s="147"/>
      <c r="D150" s="147"/>
      <c r="E150" s="147"/>
      <c r="F150" s="147"/>
      <c r="G150" s="147"/>
      <c r="H150" s="147"/>
      <c r="I150" s="227"/>
      <c r="J150" s="227"/>
      <c r="K150" s="228" t="str">
        <f>IF(LEN('3 Correl Data Metro'!B144)&gt;0,'3 Correl Data Metro'!B144,"")</f>
        <v/>
      </c>
      <c r="L150" s="140"/>
      <c r="M150" s="140"/>
      <c r="N150" s="140"/>
      <c r="O150" s="141"/>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1:91">
      <c r="A151" s="147"/>
      <c r="B151" s="147"/>
      <c r="C151" s="147"/>
      <c r="D151" s="147"/>
      <c r="E151" s="147"/>
      <c r="F151" s="147"/>
      <c r="G151" s="147"/>
      <c r="H151" s="147"/>
      <c r="I151" s="227"/>
      <c r="J151" s="227"/>
      <c r="K151" s="228" t="str">
        <f>IF(LEN('3 Correl Data Metro'!B145)&gt;0,'3 Correl Data Metro'!B145,"")</f>
        <v/>
      </c>
      <c r="L151" s="140"/>
      <c r="M151" s="140"/>
      <c r="N151" s="140"/>
      <c r="O151" s="141"/>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1:91">
      <c r="A152" s="147"/>
      <c r="B152" s="147"/>
      <c r="C152" s="147"/>
      <c r="D152" s="147"/>
      <c r="E152" s="147"/>
      <c r="F152" s="147"/>
      <c r="G152" s="147"/>
      <c r="H152" s="147"/>
      <c r="I152" s="227"/>
      <c r="J152" s="227"/>
      <c r="K152" s="228" t="str">
        <f>IF(LEN('3 Correl Data Metro'!B146)&gt;0,'3 Correl Data Metro'!B146,"")</f>
        <v/>
      </c>
      <c r="L152" s="140"/>
      <c r="M152" s="140"/>
      <c r="N152" s="140"/>
      <c r="O152" s="141"/>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1:91">
      <c r="A153" s="147"/>
      <c r="B153" s="147"/>
      <c r="C153" s="147"/>
      <c r="D153" s="147"/>
      <c r="E153" s="147"/>
      <c r="F153" s="147"/>
      <c r="G153" s="147"/>
      <c r="H153" s="147"/>
      <c r="I153" s="227"/>
      <c r="J153" s="227"/>
      <c r="K153" s="228" t="str">
        <f>IF(LEN('3 Correl Data Metro'!B147)&gt;0,'3 Correl Data Metro'!B147,"")</f>
        <v/>
      </c>
      <c r="L153" s="140"/>
      <c r="M153" s="140"/>
      <c r="N153" s="140"/>
      <c r="O153" s="141"/>
      <c r="P153" s="140"/>
      <c r="Q153" s="140"/>
      <c r="R153" s="140"/>
      <c r="S153" s="140"/>
      <c r="T153" s="140"/>
      <c r="U153" s="140"/>
      <c r="V153" s="140"/>
      <c r="W153" s="140"/>
      <c r="X153" s="140"/>
      <c r="Y153" s="140"/>
      <c r="Z153" s="140"/>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1:91">
      <c r="A154" s="147"/>
      <c r="B154" s="147"/>
      <c r="C154" s="147"/>
      <c r="D154" s="147"/>
      <c r="E154" s="147"/>
      <c r="F154" s="147"/>
      <c r="G154" s="147"/>
      <c r="H154" s="147"/>
      <c r="I154" s="227"/>
      <c r="J154" s="227"/>
      <c r="K154" s="228" t="str">
        <f>IF(LEN('3 Correl Data Metro'!B148)&gt;0,'3 Correl Data Metro'!B148,"")</f>
        <v/>
      </c>
      <c r="L154" s="140"/>
      <c r="M154" s="140"/>
      <c r="N154" s="140"/>
      <c r="O154" s="141"/>
      <c r="P154" s="140"/>
      <c r="Q154" s="140"/>
      <c r="R154" s="140"/>
      <c r="S154" s="140"/>
      <c r="T154" s="140"/>
      <c r="U154" s="140"/>
      <c r="V154" s="140"/>
      <c r="W154" s="140"/>
      <c r="X154" s="140"/>
      <c r="Y154" s="140"/>
      <c r="Z154" s="140"/>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1:91">
      <c r="A155" s="147"/>
      <c r="B155" s="147"/>
      <c r="C155" s="147"/>
      <c r="D155" s="147"/>
      <c r="E155" s="147"/>
      <c r="F155" s="147"/>
      <c r="G155" s="147"/>
      <c r="H155" s="147"/>
      <c r="I155" s="227"/>
      <c r="J155" s="227"/>
      <c r="K155" s="228" t="str">
        <f>IF(LEN('3 Correl Data Metro'!B149)&gt;0,'3 Correl Data Metro'!B149,"")</f>
        <v/>
      </c>
      <c r="L155" s="140"/>
      <c r="M155" s="140"/>
      <c r="N155" s="140"/>
      <c r="O155" s="141"/>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1:91">
      <c r="A156" s="147"/>
      <c r="B156" s="147"/>
      <c r="C156" s="147"/>
      <c r="D156" s="147"/>
      <c r="E156" s="147"/>
      <c r="F156" s="147"/>
      <c r="G156" s="147"/>
      <c r="H156" s="147"/>
      <c r="I156" s="227"/>
      <c r="J156" s="227"/>
      <c r="K156" s="228" t="str">
        <f>IF(LEN('3 Correl Data Metro'!B150)&gt;0,'3 Correl Data Metro'!B150,"")</f>
        <v/>
      </c>
      <c r="L156" s="140"/>
      <c r="M156" s="140"/>
      <c r="N156" s="140"/>
      <c r="O156" s="141"/>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1:91">
      <c r="A157" s="147"/>
      <c r="B157" s="147"/>
      <c r="C157" s="147"/>
      <c r="D157" s="147"/>
      <c r="E157" s="147"/>
      <c r="F157" s="147"/>
      <c r="G157" s="147"/>
      <c r="H157" s="147"/>
      <c r="I157" s="227"/>
      <c r="J157" s="227"/>
      <c r="K157" s="140"/>
      <c r="L157" s="140"/>
      <c r="M157" s="140"/>
      <c r="N157" s="140"/>
      <c r="O157" s="141"/>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1:91">
      <c r="A158" s="147"/>
      <c r="B158" s="147"/>
      <c r="C158" s="147"/>
      <c r="D158" s="147"/>
      <c r="E158" s="147"/>
      <c r="F158" s="147"/>
      <c r="G158" s="147"/>
      <c r="H158" s="147"/>
      <c r="I158" s="227"/>
      <c r="J158" s="227"/>
      <c r="K158" s="140"/>
      <c r="L158" s="140"/>
      <c r="M158" s="140"/>
      <c r="N158" s="140"/>
      <c r="O158" s="141"/>
      <c r="P158" s="140"/>
      <c r="Q158" s="140"/>
      <c r="R158" s="140"/>
      <c r="S158" s="140"/>
      <c r="T158" s="140"/>
      <c r="U158" s="140"/>
      <c r="V158" s="140"/>
      <c r="W158" s="140"/>
      <c r="X158" s="140"/>
      <c r="Y158" s="140"/>
      <c r="Z158" s="140"/>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1:91">
      <c r="A159" s="147"/>
      <c r="B159" s="147"/>
      <c r="C159" s="147"/>
      <c r="D159" s="147"/>
      <c r="E159" s="147"/>
      <c r="F159" s="147"/>
      <c r="G159" s="147"/>
      <c r="H159" s="147"/>
      <c r="I159" s="227"/>
      <c r="J159" s="227"/>
      <c r="K159" s="140"/>
      <c r="L159" s="140"/>
      <c r="M159" s="140"/>
      <c r="N159" s="140"/>
      <c r="O159" s="141"/>
      <c r="P159" s="140"/>
      <c r="Q159" s="140"/>
      <c r="R159" s="140"/>
      <c r="S159" s="140"/>
      <c r="T159" s="140"/>
      <c r="U159" s="140"/>
      <c r="V159" s="140"/>
      <c r="W159" s="140"/>
      <c r="X159" s="140"/>
      <c r="Y159" s="140"/>
      <c r="Z159" s="140"/>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1:91">
      <c r="A160" s="147"/>
      <c r="B160" s="147"/>
      <c r="C160" s="147"/>
      <c r="D160" s="147"/>
      <c r="E160" s="147"/>
      <c r="F160" s="147"/>
      <c r="G160" s="147"/>
      <c r="H160" s="147"/>
      <c r="I160" s="227"/>
      <c r="J160" s="227"/>
      <c r="K160" s="140"/>
      <c r="L160" s="140"/>
      <c r="M160" s="140"/>
      <c r="N160" s="140"/>
      <c r="O160" s="141"/>
      <c r="P160" s="140"/>
      <c r="Q160" s="140"/>
      <c r="R160" s="140"/>
      <c r="S160" s="140"/>
      <c r="T160" s="140"/>
      <c r="U160" s="140"/>
      <c r="V160" s="140"/>
      <c r="W160" s="140"/>
      <c r="X160" s="140"/>
      <c r="Y160" s="140"/>
      <c r="Z160" s="14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1:91">
      <c r="A161" s="147"/>
      <c r="B161" s="147"/>
      <c r="C161" s="147"/>
      <c r="D161" s="147"/>
      <c r="E161" s="147"/>
      <c r="F161" s="147"/>
      <c r="G161" s="147"/>
      <c r="H161" s="147"/>
      <c r="I161" s="227"/>
      <c r="J161" s="227"/>
      <c r="K161" s="140"/>
      <c r="L161" s="140"/>
      <c r="M161" s="140"/>
      <c r="N161" s="140"/>
      <c r="O161" s="141"/>
      <c r="P161" s="140"/>
      <c r="Q161" s="140"/>
      <c r="R161" s="140"/>
      <c r="S161" s="140"/>
      <c r="T161" s="140"/>
      <c r="U161" s="140"/>
      <c r="V161" s="140"/>
      <c r="W161" s="140"/>
      <c r="X161" s="140"/>
      <c r="Y161" s="140"/>
      <c r="Z161" s="140"/>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1:91">
      <c r="A162" s="147"/>
      <c r="B162" s="147"/>
      <c r="C162" s="147"/>
      <c r="D162" s="147"/>
      <c r="E162" s="147"/>
      <c r="F162" s="147"/>
      <c r="G162" s="147"/>
      <c r="H162" s="147"/>
      <c r="I162" s="227"/>
      <c r="J162" s="227"/>
      <c r="K162" s="140"/>
      <c r="L162" s="140"/>
      <c r="M162" s="140"/>
      <c r="N162" s="140"/>
      <c r="O162" s="141"/>
      <c r="P162" s="140"/>
      <c r="Q162" s="140"/>
      <c r="R162" s="140"/>
      <c r="S162" s="140"/>
      <c r="T162" s="140"/>
      <c r="U162" s="140"/>
      <c r="V162" s="140"/>
      <c r="W162" s="140"/>
      <c r="X162" s="140"/>
      <c r="Y162" s="140"/>
      <c r="Z162" s="140"/>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1:91">
      <c r="A163" s="147"/>
      <c r="B163" s="147"/>
      <c r="C163" s="147"/>
      <c r="D163" s="147"/>
      <c r="E163" s="147"/>
      <c r="F163" s="147"/>
      <c r="G163" s="147"/>
      <c r="H163" s="147"/>
      <c r="I163" s="227"/>
      <c r="J163" s="227"/>
      <c r="K163" s="140"/>
      <c r="L163" s="140"/>
      <c r="M163" s="140"/>
      <c r="N163" s="140"/>
      <c r="O163" s="141"/>
      <c r="P163" s="140"/>
      <c r="Q163" s="140"/>
      <c r="R163" s="140"/>
      <c r="S163" s="140"/>
      <c r="T163" s="140"/>
      <c r="U163" s="140"/>
      <c r="V163" s="140"/>
      <c r="W163" s="140"/>
      <c r="X163" s="140"/>
      <c r="Y163" s="140"/>
      <c r="Z163" s="140"/>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1:91">
      <c r="A164" s="147"/>
      <c r="B164" s="147"/>
      <c r="C164" s="147"/>
      <c r="D164" s="147"/>
      <c r="E164" s="147"/>
      <c r="F164" s="147"/>
      <c r="G164" s="147"/>
      <c r="H164" s="147"/>
      <c r="I164" s="227"/>
      <c r="J164" s="227"/>
      <c r="K164" s="140"/>
      <c r="L164" s="140"/>
      <c r="M164" s="140"/>
      <c r="N164" s="140"/>
      <c r="O164" s="141"/>
      <c r="P164" s="140"/>
      <c r="Q164" s="140"/>
      <c r="R164" s="140"/>
      <c r="S164" s="140"/>
      <c r="T164" s="140"/>
      <c r="U164" s="140"/>
      <c r="V164" s="140"/>
      <c r="W164" s="140"/>
      <c r="X164" s="140"/>
      <c r="Y164" s="140"/>
      <c r="Z164" s="140"/>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1:91">
      <c r="A165" s="147"/>
      <c r="B165" s="147"/>
      <c r="C165" s="147"/>
      <c r="D165" s="147"/>
      <c r="E165" s="147"/>
      <c r="F165" s="147"/>
      <c r="G165" s="147"/>
      <c r="H165" s="147"/>
      <c r="I165" s="227"/>
      <c r="J165" s="227"/>
      <c r="K165" s="140"/>
      <c r="L165" s="140"/>
      <c r="M165" s="140"/>
      <c r="N165" s="140"/>
      <c r="O165" s="141"/>
      <c r="P165" s="140"/>
      <c r="Q165" s="140"/>
      <c r="R165" s="140"/>
      <c r="S165" s="140"/>
      <c r="T165" s="140"/>
      <c r="U165" s="140"/>
      <c r="V165" s="140"/>
      <c r="W165" s="140"/>
      <c r="X165" s="140"/>
      <c r="Y165" s="140"/>
      <c r="Z165" s="140"/>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1:91">
      <c r="A166" s="147"/>
      <c r="B166" s="147"/>
      <c r="C166" s="147"/>
      <c r="D166" s="147"/>
      <c r="E166" s="147"/>
      <c r="F166" s="147"/>
      <c r="G166" s="147"/>
      <c r="H166" s="147"/>
      <c r="I166" s="227"/>
      <c r="J166" s="227"/>
      <c r="K166" s="140"/>
      <c r="L166" s="140"/>
      <c r="M166" s="140"/>
      <c r="N166" s="140"/>
      <c r="O166" s="141"/>
      <c r="P166" s="140"/>
      <c r="Q166" s="140"/>
      <c r="R166" s="140"/>
      <c r="S166" s="140"/>
      <c r="T166" s="140"/>
      <c r="U166" s="140"/>
      <c r="V166" s="140"/>
      <c r="W166" s="140"/>
      <c r="X166" s="140"/>
      <c r="Y166" s="140"/>
      <c r="Z166" s="140"/>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1:91">
      <c r="A167" s="147"/>
      <c r="B167" s="147"/>
      <c r="C167" s="147"/>
      <c r="D167" s="147"/>
      <c r="E167" s="147"/>
      <c r="F167" s="147"/>
      <c r="G167" s="147"/>
      <c r="H167" s="147"/>
      <c r="I167" s="227"/>
      <c r="J167" s="227"/>
      <c r="K167" s="140"/>
      <c r="L167" s="140"/>
      <c r="M167" s="140"/>
      <c r="N167" s="140"/>
      <c r="O167" s="141"/>
      <c r="P167" s="140"/>
      <c r="Q167" s="140"/>
      <c r="R167" s="140"/>
      <c r="S167" s="140"/>
      <c r="T167" s="140"/>
      <c r="U167" s="140"/>
      <c r="V167" s="140"/>
      <c r="W167" s="140"/>
      <c r="X167" s="140"/>
      <c r="Y167" s="140"/>
      <c r="Z167" s="140"/>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1:91">
      <c r="A168" s="147"/>
      <c r="B168" s="147"/>
      <c r="C168" s="147"/>
      <c r="D168" s="147"/>
      <c r="E168" s="147"/>
      <c r="F168" s="147"/>
      <c r="G168" s="147"/>
      <c r="H168" s="147"/>
      <c r="I168" s="227"/>
      <c r="J168" s="227"/>
      <c r="K168" s="140"/>
      <c r="L168" s="140"/>
      <c r="M168" s="140"/>
      <c r="N168" s="140"/>
      <c r="O168" s="141"/>
      <c r="P168" s="140"/>
      <c r="Q168" s="140"/>
      <c r="R168" s="140"/>
      <c r="S168" s="140"/>
      <c r="T168" s="140"/>
      <c r="U168" s="140"/>
      <c r="V168" s="140"/>
      <c r="W168" s="140"/>
      <c r="X168" s="140"/>
      <c r="Y168" s="140"/>
      <c r="Z168" s="140"/>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1:91">
      <c r="A169" s="147"/>
      <c r="B169" s="147"/>
      <c r="C169" s="147"/>
      <c r="D169" s="147"/>
      <c r="E169" s="147"/>
      <c r="F169" s="147"/>
      <c r="G169" s="147"/>
      <c r="H169" s="147"/>
      <c r="I169" s="227"/>
      <c r="J169" s="227"/>
      <c r="K169" s="140"/>
      <c r="L169" s="140"/>
      <c r="M169" s="140"/>
      <c r="N169" s="140"/>
      <c r="O169" s="141"/>
      <c r="P169" s="140"/>
      <c r="Q169" s="140"/>
      <c r="R169" s="140"/>
      <c r="S169" s="140"/>
      <c r="T169" s="140"/>
      <c r="U169" s="140"/>
      <c r="V169" s="140"/>
      <c r="W169" s="140"/>
      <c r="X169" s="140"/>
      <c r="Y169" s="140"/>
      <c r="Z169" s="140"/>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1:91">
      <c r="A170" s="147"/>
      <c r="B170" s="147"/>
      <c r="C170" s="147"/>
      <c r="D170" s="147"/>
      <c r="E170" s="147"/>
      <c r="F170" s="147"/>
      <c r="G170" s="147"/>
      <c r="H170" s="147"/>
      <c r="I170" s="227"/>
      <c r="J170" s="227"/>
      <c r="K170" s="140"/>
      <c r="L170" s="140"/>
      <c r="M170" s="140"/>
      <c r="N170" s="140"/>
      <c r="O170" s="141"/>
      <c r="P170" s="140"/>
      <c r="Q170" s="140"/>
      <c r="R170" s="140"/>
      <c r="S170" s="140"/>
      <c r="T170" s="140"/>
      <c r="U170" s="140"/>
      <c r="V170" s="140"/>
      <c r="W170" s="140"/>
      <c r="X170" s="140"/>
      <c r="Y170" s="140"/>
      <c r="Z170" s="14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1:91">
      <c r="A171" s="147"/>
      <c r="B171" s="147"/>
      <c r="C171" s="147"/>
      <c r="D171" s="147"/>
      <c r="E171" s="147"/>
      <c r="F171" s="147"/>
      <c r="G171" s="147"/>
      <c r="H171" s="147"/>
      <c r="I171" s="227"/>
      <c r="J171" s="227"/>
      <c r="K171" s="140"/>
      <c r="L171" s="140"/>
      <c r="M171" s="140"/>
      <c r="N171" s="140"/>
      <c r="O171" s="141"/>
      <c r="P171" s="140"/>
      <c r="Q171" s="140"/>
      <c r="R171" s="140"/>
      <c r="S171" s="140"/>
      <c r="T171" s="140"/>
      <c r="U171" s="140"/>
      <c r="V171" s="140"/>
      <c r="W171" s="140"/>
      <c r="X171" s="140"/>
      <c r="Y171" s="140"/>
      <c r="Z171" s="140"/>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1:91">
      <c r="A172" s="147"/>
      <c r="B172" s="147"/>
      <c r="C172" s="147"/>
      <c r="D172" s="147"/>
      <c r="E172" s="147"/>
      <c r="F172" s="147"/>
      <c r="G172" s="147"/>
      <c r="H172" s="147"/>
      <c r="I172" s="227"/>
      <c r="J172" s="227"/>
      <c r="K172" s="140"/>
      <c r="L172" s="140"/>
      <c r="M172" s="140"/>
      <c r="N172" s="140"/>
      <c r="O172" s="141"/>
      <c r="P172" s="140"/>
      <c r="Q172" s="140"/>
      <c r="R172" s="140"/>
      <c r="S172" s="140"/>
      <c r="T172" s="140"/>
      <c r="U172" s="140"/>
      <c r="V172" s="140"/>
      <c r="W172" s="140"/>
      <c r="X172" s="140"/>
      <c r="Y172" s="140"/>
      <c r="Z172" s="140"/>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1:91">
      <c r="A173" s="147"/>
      <c r="B173" s="147"/>
      <c r="C173" s="147"/>
      <c r="D173" s="147"/>
      <c r="E173" s="147"/>
      <c r="F173" s="147"/>
      <c r="G173" s="147"/>
      <c r="H173" s="147"/>
      <c r="I173" s="227"/>
      <c r="J173" s="227"/>
      <c r="K173" s="140"/>
      <c r="L173" s="140"/>
      <c r="M173" s="140"/>
      <c r="N173" s="140"/>
      <c r="O173" s="141"/>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1:91">
      <c r="A174" s="147"/>
      <c r="B174" s="147"/>
      <c r="C174" s="147"/>
      <c r="D174" s="147"/>
      <c r="E174" s="147"/>
      <c r="F174" s="147"/>
      <c r="G174" s="147"/>
      <c r="H174" s="147"/>
      <c r="I174" s="227"/>
      <c r="J174" s="227"/>
      <c r="K174" s="140"/>
      <c r="L174" s="140"/>
      <c r="M174" s="140"/>
      <c r="N174" s="140"/>
      <c r="O174" s="141"/>
      <c r="P174" s="140"/>
      <c r="Q174" s="140"/>
      <c r="R174" s="140"/>
      <c r="S174" s="140"/>
      <c r="T174" s="140"/>
      <c r="U174" s="140"/>
      <c r="V174" s="140"/>
      <c r="W174" s="140"/>
      <c r="X174" s="140"/>
      <c r="Y174" s="140"/>
      <c r="Z174" s="140"/>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1:91">
      <c r="A175" s="147"/>
      <c r="B175" s="147"/>
      <c r="C175" s="147"/>
      <c r="D175" s="147"/>
      <c r="E175" s="147"/>
      <c r="F175" s="147"/>
      <c r="G175" s="147"/>
      <c r="H175" s="147"/>
      <c r="I175" s="227"/>
      <c r="J175" s="227"/>
      <c r="K175" s="140"/>
      <c r="L175" s="140"/>
      <c r="M175" s="140"/>
      <c r="N175" s="140"/>
      <c r="O175" s="141"/>
      <c r="P175" s="140"/>
      <c r="Q175" s="140"/>
      <c r="R175" s="140"/>
      <c r="S175" s="140"/>
      <c r="T175" s="140"/>
      <c r="U175" s="140"/>
      <c r="V175" s="140"/>
      <c r="W175" s="140"/>
      <c r="X175" s="140"/>
      <c r="Y175" s="140"/>
      <c r="Z175" s="140"/>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1:91">
      <c r="A176" s="147"/>
      <c r="B176" s="147"/>
      <c r="C176" s="147"/>
      <c r="D176" s="147"/>
      <c r="E176" s="147"/>
      <c r="F176" s="147"/>
      <c r="G176" s="147"/>
      <c r="H176" s="147"/>
      <c r="I176" s="227"/>
      <c r="J176" s="227"/>
      <c r="K176" s="140"/>
      <c r="L176" s="140"/>
      <c r="M176" s="140"/>
      <c r="N176" s="140"/>
      <c r="O176" s="141"/>
      <c r="P176" s="140"/>
      <c r="Q176" s="140"/>
      <c r="R176" s="140"/>
      <c r="S176" s="140"/>
      <c r="T176" s="140"/>
      <c r="U176" s="140"/>
      <c r="V176" s="140"/>
      <c r="W176" s="140"/>
      <c r="X176" s="140"/>
      <c r="Y176" s="140"/>
      <c r="Z176" s="140"/>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1:91">
      <c r="A177" s="147"/>
      <c r="B177" s="147"/>
      <c r="C177" s="147"/>
      <c r="D177" s="147"/>
      <c r="E177" s="147"/>
      <c r="F177" s="147"/>
      <c r="G177" s="147"/>
      <c r="H177" s="147"/>
      <c r="I177" s="227"/>
      <c r="J177" s="227"/>
      <c r="K177" s="140"/>
      <c r="L177" s="140"/>
      <c r="M177" s="140"/>
      <c r="N177" s="140"/>
      <c r="O177" s="141"/>
      <c r="P177" s="140"/>
      <c r="Q177" s="140"/>
      <c r="R177" s="140"/>
      <c r="S177" s="140"/>
      <c r="T177" s="140"/>
      <c r="U177" s="140"/>
      <c r="V177" s="140"/>
      <c r="W177" s="140"/>
      <c r="X177" s="140"/>
      <c r="Y177" s="140"/>
      <c r="Z177" s="140"/>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1:91">
      <c r="A178" s="147"/>
      <c r="B178" s="147"/>
      <c r="C178" s="147"/>
      <c r="D178" s="147"/>
      <c r="E178" s="147"/>
      <c r="F178" s="147"/>
      <c r="G178" s="147"/>
      <c r="H178" s="147"/>
      <c r="I178" s="227"/>
      <c r="J178" s="227"/>
      <c r="K178" s="140"/>
      <c r="L178" s="140"/>
      <c r="M178" s="140"/>
      <c r="N178" s="140"/>
      <c r="O178" s="141"/>
      <c r="P178" s="140"/>
      <c r="Q178" s="140"/>
      <c r="R178" s="140"/>
      <c r="S178" s="140"/>
      <c r="T178" s="140"/>
      <c r="U178" s="140"/>
      <c r="V178" s="140"/>
      <c r="W178" s="140"/>
      <c r="X178" s="140"/>
      <c r="Y178" s="140"/>
      <c r="Z178" s="140"/>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1:91">
      <c r="A179" s="147"/>
      <c r="B179" s="147"/>
      <c r="C179" s="147"/>
      <c r="D179" s="147"/>
      <c r="E179" s="147"/>
      <c r="F179" s="147"/>
      <c r="G179" s="147"/>
      <c r="H179" s="147"/>
      <c r="I179" s="227"/>
      <c r="J179" s="227"/>
      <c r="K179" s="140"/>
      <c r="L179" s="140"/>
      <c r="M179" s="140"/>
      <c r="N179" s="140"/>
      <c r="O179" s="141"/>
      <c r="P179" s="140"/>
      <c r="Q179" s="140"/>
      <c r="R179" s="140"/>
      <c r="S179" s="140"/>
      <c r="T179" s="140"/>
      <c r="U179" s="140"/>
      <c r="V179" s="140"/>
      <c r="W179" s="140"/>
      <c r="X179" s="140"/>
      <c r="Y179" s="140"/>
      <c r="Z179" s="140"/>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1:91">
      <c r="A180" s="147"/>
      <c r="B180" s="147"/>
      <c r="C180" s="147"/>
      <c r="D180" s="147"/>
      <c r="E180" s="147"/>
      <c r="F180" s="147"/>
      <c r="G180" s="147"/>
      <c r="H180" s="147"/>
      <c r="I180" s="227"/>
      <c r="J180" s="227"/>
      <c r="K180" s="140"/>
      <c r="L180" s="140"/>
      <c r="M180" s="140"/>
      <c r="N180" s="140"/>
      <c r="O180" s="141"/>
      <c r="P180" s="140"/>
      <c r="Q180" s="140"/>
      <c r="R180" s="140"/>
      <c r="S180" s="140"/>
      <c r="T180" s="140"/>
      <c r="U180" s="140"/>
      <c r="V180" s="140"/>
      <c r="W180" s="140"/>
      <c r="X180" s="140"/>
      <c r="Y180" s="140"/>
      <c r="Z180" s="14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1:91">
      <c r="A181" s="147"/>
      <c r="B181" s="147"/>
      <c r="C181" s="147"/>
      <c r="D181" s="147"/>
      <c r="E181" s="147"/>
      <c r="F181" s="147"/>
      <c r="G181" s="147"/>
      <c r="H181" s="147"/>
      <c r="I181" s="227"/>
      <c r="J181" s="227"/>
      <c r="K181" s="140"/>
      <c r="L181" s="140"/>
      <c r="M181" s="140"/>
      <c r="N181" s="140"/>
      <c r="O181" s="141"/>
      <c r="P181" s="140"/>
      <c r="Q181" s="140"/>
      <c r="R181" s="140"/>
      <c r="S181" s="140"/>
      <c r="T181" s="140"/>
      <c r="U181" s="140"/>
      <c r="V181" s="140"/>
      <c r="W181" s="140"/>
      <c r="X181" s="140"/>
      <c r="Y181" s="140"/>
      <c r="Z181" s="140"/>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1:91">
      <c r="A182" s="147"/>
      <c r="B182" s="147"/>
      <c r="C182" s="147"/>
      <c r="D182" s="147"/>
      <c r="E182" s="147"/>
      <c r="F182" s="147"/>
      <c r="G182" s="147"/>
      <c r="H182" s="147"/>
      <c r="I182" s="227"/>
      <c r="J182" s="227"/>
      <c r="K182" s="140"/>
      <c r="L182" s="140"/>
      <c r="M182" s="140"/>
      <c r="N182" s="140"/>
      <c r="O182" s="141"/>
      <c r="P182" s="140"/>
      <c r="Q182" s="140"/>
      <c r="R182" s="140"/>
      <c r="S182" s="140"/>
      <c r="T182" s="140"/>
      <c r="U182" s="140"/>
      <c r="V182" s="140"/>
      <c r="W182" s="140"/>
      <c r="X182" s="140"/>
      <c r="Y182" s="140"/>
      <c r="Z182" s="140"/>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1:91">
      <c r="A183" s="147"/>
      <c r="B183" s="147"/>
      <c r="C183" s="147"/>
      <c r="D183" s="147"/>
      <c r="E183" s="147"/>
      <c r="F183" s="147"/>
      <c r="G183" s="147"/>
      <c r="H183" s="147"/>
      <c r="I183" s="227"/>
      <c r="J183" s="227"/>
      <c r="K183" s="140"/>
      <c r="L183" s="140"/>
      <c r="M183" s="140"/>
      <c r="N183" s="140"/>
      <c r="O183" s="141"/>
      <c r="P183" s="140"/>
      <c r="Q183" s="140"/>
      <c r="R183" s="140"/>
      <c r="S183" s="140"/>
      <c r="T183" s="140"/>
      <c r="U183" s="140"/>
      <c r="V183" s="140"/>
      <c r="W183" s="140"/>
      <c r="X183" s="140"/>
      <c r="Y183" s="140"/>
      <c r="Z183" s="140"/>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1:91">
      <c r="A184" s="147"/>
      <c r="B184" s="147"/>
      <c r="C184" s="147"/>
      <c r="D184" s="147"/>
      <c r="E184" s="147"/>
      <c r="F184" s="147"/>
      <c r="G184" s="147"/>
      <c r="H184" s="147"/>
      <c r="I184" s="227"/>
      <c r="J184" s="227"/>
      <c r="K184" s="140"/>
      <c r="L184" s="140"/>
      <c r="M184" s="140"/>
      <c r="N184" s="140"/>
      <c r="O184" s="141"/>
      <c r="P184" s="140"/>
      <c r="Q184" s="140"/>
      <c r="R184" s="140"/>
      <c r="S184" s="140"/>
      <c r="T184" s="140"/>
      <c r="U184" s="140"/>
      <c r="V184" s="140"/>
      <c r="W184" s="140"/>
      <c r="X184" s="140"/>
      <c r="Y184" s="140"/>
      <c r="Z184" s="140"/>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1:91">
      <c r="A185" s="147"/>
      <c r="B185" s="147"/>
      <c r="C185" s="147"/>
      <c r="D185" s="147"/>
      <c r="E185" s="147"/>
      <c r="F185" s="147"/>
      <c r="G185" s="147"/>
      <c r="H185" s="147"/>
      <c r="I185" s="227"/>
      <c r="J185" s="227"/>
      <c r="K185" s="140"/>
      <c r="L185" s="140"/>
      <c r="M185" s="140"/>
      <c r="N185" s="140"/>
      <c r="O185" s="141"/>
      <c r="P185" s="140"/>
      <c r="Q185" s="140"/>
      <c r="R185" s="140"/>
      <c r="S185" s="140"/>
      <c r="T185" s="140"/>
      <c r="U185" s="140"/>
      <c r="V185" s="140"/>
      <c r="W185" s="140"/>
      <c r="X185" s="140"/>
      <c r="Y185" s="140"/>
      <c r="Z185" s="140"/>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1:91">
      <c r="A186" s="147"/>
      <c r="B186" s="147"/>
      <c r="C186" s="147"/>
      <c r="D186" s="147"/>
      <c r="E186" s="147"/>
      <c r="F186" s="147"/>
      <c r="G186" s="147"/>
      <c r="H186" s="147"/>
      <c r="I186" s="227"/>
      <c r="J186" s="227"/>
      <c r="K186" s="140"/>
      <c r="L186" s="140"/>
      <c r="M186" s="140"/>
      <c r="N186" s="140"/>
      <c r="O186" s="141"/>
      <c r="P186" s="140"/>
      <c r="Q186" s="140"/>
      <c r="R186" s="140"/>
      <c r="S186" s="140"/>
      <c r="T186" s="140"/>
      <c r="U186" s="140"/>
      <c r="V186" s="140"/>
      <c r="W186" s="140"/>
      <c r="X186" s="140"/>
      <c r="Y186" s="140"/>
      <c r="Z186" s="140"/>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1:91">
      <c r="A187" s="147"/>
      <c r="B187" s="147"/>
      <c r="C187" s="147"/>
      <c r="D187" s="147"/>
      <c r="E187" s="147"/>
      <c r="F187" s="147"/>
      <c r="G187" s="147"/>
      <c r="H187" s="147"/>
      <c r="I187" s="227"/>
      <c r="J187" s="227"/>
      <c r="K187" s="140"/>
      <c r="L187" s="140"/>
      <c r="M187" s="140"/>
      <c r="N187" s="140"/>
      <c r="O187" s="141"/>
      <c r="P187" s="140"/>
      <c r="Q187" s="140"/>
      <c r="R187" s="140"/>
      <c r="S187" s="140"/>
      <c r="T187" s="140"/>
      <c r="U187" s="140"/>
      <c r="V187" s="140"/>
      <c r="W187" s="140"/>
      <c r="X187" s="140"/>
      <c r="Y187" s="140"/>
      <c r="Z187" s="140"/>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1:91">
      <c r="A188" s="147"/>
      <c r="B188" s="147"/>
      <c r="C188" s="147"/>
      <c r="D188" s="147"/>
      <c r="E188" s="147"/>
      <c r="F188" s="147"/>
      <c r="G188" s="147"/>
      <c r="H188" s="147"/>
      <c r="I188" s="227"/>
      <c r="J188" s="227"/>
      <c r="K188" s="140"/>
      <c r="L188" s="140"/>
      <c r="M188" s="140"/>
      <c r="N188" s="140"/>
      <c r="O188" s="141"/>
      <c r="P188" s="140"/>
      <c r="Q188" s="140"/>
      <c r="R188" s="140"/>
      <c r="S188" s="140"/>
      <c r="T188" s="140"/>
      <c r="U188" s="140"/>
      <c r="V188" s="140"/>
      <c r="W188" s="140"/>
      <c r="X188" s="140"/>
      <c r="Y188" s="140"/>
      <c r="Z188" s="140"/>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1:91">
      <c r="A189" s="147"/>
      <c r="B189" s="147"/>
      <c r="C189" s="147"/>
      <c r="D189" s="147"/>
      <c r="E189" s="147"/>
      <c r="F189" s="147"/>
      <c r="G189" s="147"/>
      <c r="H189" s="147"/>
      <c r="I189" s="227"/>
      <c r="J189" s="227"/>
      <c r="K189" s="140"/>
      <c r="L189" s="140"/>
      <c r="M189" s="140"/>
      <c r="N189" s="140"/>
      <c r="O189" s="141"/>
      <c r="P189" s="140"/>
      <c r="Q189" s="140"/>
      <c r="R189" s="140"/>
      <c r="S189" s="140"/>
      <c r="T189" s="140"/>
      <c r="U189" s="140"/>
      <c r="V189" s="140"/>
      <c r="W189" s="140"/>
      <c r="X189" s="140"/>
      <c r="Y189" s="140"/>
      <c r="Z189" s="140"/>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1:91">
      <c r="A190" s="147"/>
      <c r="B190" s="147"/>
      <c r="C190" s="147"/>
      <c r="D190" s="147"/>
      <c r="E190" s="147"/>
      <c r="F190" s="147"/>
      <c r="G190" s="147"/>
      <c r="H190" s="147"/>
      <c r="I190" s="227"/>
      <c r="J190" s="227"/>
      <c r="K190" s="140"/>
      <c r="L190" s="140"/>
      <c r="M190" s="140"/>
      <c r="N190" s="140"/>
      <c r="O190" s="141"/>
      <c r="P190" s="140"/>
      <c r="Q190" s="140"/>
      <c r="R190" s="140"/>
      <c r="S190" s="140"/>
      <c r="T190" s="140"/>
      <c r="U190" s="140"/>
      <c r="V190" s="140"/>
      <c r="W190" s="140"/>
      <c r="X190" s="140"/>
      <c r="Y190" s="140"/>
      <c r="Z190" s="14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1:91">
      <c r="A191" s="147"/>
      <c r="B191" s="147"/>
      <c r="C191" s="147"/>
      <c r="D191" s="147"/>
      <c r="E191" s="147"/>
      <c r="F191" s="147"/>
      <c r="G191" s="147"/>
      <c r="H191" s="147"/>
      <c r="I191" s="227"/>
      <c r="J191" s="227"/>
      <c r="K191" s="140"/>
      <c r="L191" s="140"/>
      <c r="M191" s="140"/>
      <c r="N191" s="140"/>
      <c r="O191" s="141"/>
      <c r="P191" s="140"/>
      <c r="Q191" s="140"/>
      <c r="R191" s="140"/>
      <c r="S191" s="140"/>
      <c r="T191" s="140"/>
      <c r="U191" s="140"/>
      <c r="V191" s="140"/>
      <c r="W191" s="140"/>
      <c r="X191" s="140"/>
      <c r="Y191" s="140"/>
      <c r="Z191" s="140"/>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1:91">
      <c r="A192" s="147"/>
      <c r="B192" s="147"/>
      <c r="C192" s="147"/>
      <c r="D192" s="147"/>
      <c r="E192" s="147"/>
      <c r="F192" s="147"/>
      <c r="G192" s="147"/>
      <c r="H192" s="147"/>
      <c r="I192" s="227"/>
      <c r="J192" s="227"/>
      <c r="K192" s="140"/>
      <c r="L192" s="140"/>
      <c r="M192" s="140"/>
      <c r="N192" s="140"/>
      <c r="O192" s="141"/>
      <c r="P192" s="140"/>
      <c r="Q192" s="140"/>
      <c r="R192" s="140"/>
      <c r="S192" s="140"/>
      <c r="T192" s="140"/>
      <c r="U192" s="140"/>
      <c r="V192" s="140"/>
      <c r="W192" s="140"/>
      <c r="X192" s="140"/>
      <c r="Y192" s="140"/>
      <c r="Z192" s="140"/>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1:91">
      <c r="A193" s="147"/>
      <c r="B193" s="147"/>
      <c r="C193" s="147"/>
      <c r="D193" s="147"/>
      <c r="E193" s="147"/>
      <c r="F193" s="147"/>
      <c r="G193" s="147"/>
      <c r="H193" s="147"/>
      <c r="I193" s="227"/>
      <c r="J193" s="227"/>
      <c r="K193" s="140"/>
      <c r="L193" s="140"/>
      <c r="M193" s="140"/>
      <c r="N193" s="140"/>
      <c r="O193" s="141"/>
      <c r="P193" s="140"/>
      <c r="Q193" s="140"/>
      <c r="R193" s="140"/>
      <c r="S193" s="140"/>
      <c r="T193" s="140"/>
      <c r="U193" s="140"/>
      <c r="V193" s="140"/>
      <c r="W193" s="140"/>
      <c r="X193" s="140"/>
      <c r="Y193" s="140"/>
      <c r="Z193" s="140"/>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1:91">
      <c r="A194" s="147"/>
      <c r="B194" s="147"/>
      <c r="C194" s="147"/>
      <c r="D194" s="147"/>
      <c r="E194" s="147"/>
      <c r="F194" s="147"/>
      <c r="G194" s="147"/>
      <c r="H194" s="147"/>
      <c r="I194" s="227"/>
      <c r="J194" s="227"/>
      <c r="K194" s="140"/>
      <c r="L194" s="140"/>
      <c r="M194" s="140"/>
      <c r="N194" s="140"/>
      <c r="O194" s="141"/>
      <c r="P194" s="140"/>
      <c r="Q194" s="140"/>
      <c r="R194" s="140"/>
      <c r="S194" s="140"/>
      <c r="T194" s="140"/>
      <c r="U194" s="140"/>
      <c r="V194" s="140"/>
      <c r="W194" s="140"/>
      <c r="X194" s="140"/>
      <c r="Y194" s="140"/>
      <c r="Z194" s="140"/>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1:91">
      <c r="A195" s="147"/>
      <c r="B195" s="147"/>
      <c r="C195" s="147"/>
      <c r="D195" s="147"/>
      <c r="E195" s="147"/>
      <c r="F195" s="147"/>
      <c r="G195" s="147"/>
      <c r="H195" s="147"/>
      <c r="I195" s="227"/>
      <c r="J195" s="227"/>
      <c r="K195" s="140"/>
      <c r="L195" s="140"/>
      <c r="M195" s="140"/>
      <c r="N195" s="140"/>
      <c r="O195" s="141"/>
      <c r="P195" s="140"/>
      <c r="Q195" s="140"/>
      <c r="R195" s="140"/>
      <c r="S195" s="140"/>
      <c r="T195" s="140"/>
      <c r="U195" s="140"/>
      <c r="V195" s="140"/>
      <c r="W195" s="140"/>
      <c r="X195" s="140"/>
      <c r="Y195" s="140"/>
      <c r="Z195" s="140"/>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1:91">
      <c r="A196" s="147"/>
      <c r="B196" s="147"/>
      <c r="C196" s="147"/>
      <c r="D196" s="147"/>
      <c r="E196" s="147"/>
      <c r="F196" s="147"/>
      <c r="G196" s="147"/>
      <c r="H196" s="147"/>
      <c r="I196" s="227"/>
      <c r="J196" s="227"/>
      <c r="K196" s="140"/>
      <c r="L196" s="140"/>
      <c r="M196" s="140"/>
      <c r="N196" s="140"/>
      <c r="O196" s="141"/>
      <c r="P196" s="140"/>
      <c r="Q196" s="140"/>
      <c r="R196" s="140"/>
      <c r="S196" s="140"/>
      <c r="T196" s="140"/>
      <c r="U196" s="140"/>
      <c r="V196" s="140"/>
      <c r="W196" s="140"/>
      <c r="X196" s="140"/>
      <c r="Y196" s="140"/>
      <c r="Z196" s="140"/>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1:91">
      <c r="A197" s="147"/>
      <c r="B197" s="147"/>
      <c r="C197" s="147"/>
      <c r="D197" s="147"/>
      <c r="E197" s="147"/>
      <c r="F197" s="147"/>
      <c r="G197" s="147"/>
      <c r="H197" s="147"/>
      <c r="I197" s="227"/>
      <c r="J197" s="227"/>
      <c r="K197" s="140"/>
      <c r="L197" s="140"/>
      <c r="M197" s="140"/>
      <c r="N197" s="140"/>
      <c r="O197" s="141"/>
      <c r="P197" s="140"/>
      <c r="Q197" s="140"/>
      <c r="R197" s="140"/>
      <c r="S197" s="140"/>
      <c r="T197" s="140"/>
      <c r="U197" s="140"/>
      <c r="V197" s="140"/>
      <c r="W197" s="140"/>
      <c r="X197" s="140"/>
      <c r="Y197" s="140"/>
      <c r="Z197" s="140"/>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1:91">
      <c r="A198" s="147"/>
      <c r="B198" s="147"/>
      <c r="C198" s="147"/>
      <c r="D198" s="147"/>
      <c r="E198" s="147"/>
      <c r="F198" s="147"/>
      <c r="G198" s="147"/>
      <c r="H198" s="147"/>
      <c r="I198" s="227"/>
      <c r="J198" s="227"/>
      <c r="K198" s="140"/>
      <c r="L198" s="140"/>
      <c r="M198" s="140"/>
      <c r="N198" s="140"/>
      <c r="O198" s="141"/>
      <c r="P198" s="140"/>
      <c r="Q198" s="140"/>
      <c r="R198" s="140"/>
      <c r="S198" s="140"/>
      <c r="T198" s="140"/>
      <c r="U198" s="140"/>
      <c r="V198" s="140"/>
      <c r="W198" s="140"/>
      <c r="X198" s="140"/>
      <c r="Y198" s="140"/>
      <c r="Z198" s="140"/>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1:91">
      <c r="A199" s="147"/>
      <c r="B199" s="147"/>
      <c r="C199" s="147"/>
      <c r="D199" s="147"/>
      <c r="E199" s="147"/>
      <c r="F199" s="147"/>
      <c r="G199" s="147"/>
      <c r="H199" s="147"/>
      <c r="I199" s="227"/>
      <c r="J199" s="227"/>
      <c r="K199" s="140"/>
      <c r="L199" s="140"/>
      <c r="M199" s="140"/>
      <c r="N199" s="140"/>
      <c r="O199" s="141"/>
      <c r="P199" s="140"/>
      <c r="Q199" s="140"/>
      <c r="R199" s="140"/>
      <c r="S199" s="140"/>
      <c r="T199" s="140"/>
      <c r="U199" s="140"/>
      <c r="V199" s="140"/>
      <c r="W199" s="140"/>
      <c r="X199" s="140"/>
      <c r="Y199" s="140"/>
      <c r="Z199" s="140"/>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1:91">
      <c r="A200" s="147"/>
      <c r="B200" s="147"/>
      <c r="C200" s="147"/>
      <c r="D200" s="147"/>
      <c r="E200" s="147"/>
      <c r="F200" s="147"/>
      <c r="G200" s="147"/>
      <c r="H200" s="147"/>
      <c r="I200" s="227"/>
      <c r="J200" s="227"/>
      <c r="K200" s="140"/>
      <c r="L200" s="140"/>
      <c r="M200" s="140"/>
      <c r="N200" s="140"/>
      <c r="O200" s="141"/>
      <c r="P200" s="140"/>
      <c r="Q200" s="140"/>
      <c r="R200" s="140"/>
      <c r="S200" s="140"/>
      <c r="T200" s="140"/>
      <c r="U200" s="140"/>
      <c r="V200" s="140"/>
      <c r="W200" s="140"/>
      <c r="X200" s="140"/>
      <c r="Y200" s="140"/>
      <c r="Z200" s="14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1:91">
      <c r="A201" s="147"/>
      <c r="B201" s="147"/>
      <c r="C201" s="147"/>
      <c r="D201" s="147"/>
      <c r="E201" s="147"/>
      <c r="F201" s="147"/>
      <c r="G201" s="147"/>
      <c r="H201" s="147"/>
      <c r="I201" s="227"/>
      <c r="J201" s="227"/>
      <c r="K201" s="140"/>
      <c r="L201" s="140"/>
      <c r="M201" s="140"/>
      <c r="N201" s="140"/>
      <c r="O201" s="141"/>
      <c r="P201" s="140"/>
      <c r="Q201" s="140"/>
      <c r="R201" s="140"/>
      <c r="S201" s="140"/>
      <c r="T201" s="140"/>
      <c r="U201" s="140"/>
      <c r="V201" s="140"/>
      <c r="W201" s="140"/>
      <c r="X201" s="140"/>
      <c r="Y201" s="140"/>
      <c r="Z201" s="140"/>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1:91">
      <c r="A202" s="147"/>
      <c r="B202" s="147"/>
      <c r="C202" s="147"/>
      <c r="D202" s="147"/>
      <c r="E202" s="147"/>
      <c r="F202" s="147"/>
      <c r="G202" s="147"/>
      <c r="H202" s="147"/>
      <c r="I202" s="227"/>
      <c r="J202" s="227"/>
      <c r="K202" s="140"/>
      <c r="L202" s="140"/>
      <c r="M202" s="140"/>
      <c r="N202" s="140"/>
      <c r="O202" s="141"/>
      <c r="P202" s="140"/>
      <c r="Q202" s="140"/>
      <c r="R202" s="140"/>
      <c r="S202" s="140"/>
      <c r="T202" s="140"/>
      <c r="U202" s="140"/>
      <c r="V202" s="140"/>
      <c r="W202" s="140"/>
      <c r="X202" s="140"/>
      <c r="Y202" s="140"/>
      <c r="Z202" s="140"/>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1:91">
      <c r="A203" s="147"/>
      <c r="B203" s="147"/>
      <c r="C203" s="147"/>
      <c r="D203" s="147"/>
      <c r="E203" s="147"/>
      <c r="F203" s="147"/>
      <c r="G203" s="147"/>
      <c r="H203" s="147"/>
      <c r="I203" s="227"/>
      <c r="J203" s="227"/>
      <c r="K203" s="140"/>
      <c r="L203" s="140"/>
      <c r="M203" s="140"/>
      <c r="N203" s="140"/>
      <c r="O203" s="141"/>
      <c r="P203" s="140"/>
      <c r="Q203" s="140"/>
      <c r="R203" s="140"/>
      <c r="S203" s="140"/>
      <c r="T203" s="140"/>
      <c r="U203" s="140"/>
      <c r="V203" s="140"/>
      <c r="W203" s="140"/>
      <c r="X203" s="140"/>
      <c r="Y203" s="140"/>
      <c r="Z203" s="140"/>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1:91">
      <c r="A204" s="147"/>
      <c r="B204" s="147"/>
      <c r="C204" s="147"/>
      <c r="D204" s="147"/>
      <c r="E204" s="147"/>
      <c r="F204" s="147"/>
      <c r="G204" s="147"/>
      <c r="H204" s="147"/>
      <c r="I204" s="227"/>
      <c r="J204" s="227"/>
      <c r="K204" s="140"/>
      <c r="L204" s="140"/>
      <c r="M204" s="140"/>
      <c r="N204" s="140"/>
      <c r="O204" s="141"/>
      <c r="P204" s="140"/>
      <c r="Q204" s="140"/>
      <c r="R204" s="140"/>
      <c r="S204" s="140"/>
      <c r="T204" s="140"/>
      <c r="U204" s="140"/>
      <c r="V204" s="140"/>
      <c r="W204" s="140"/>
      <c r="X204" s="140"/>
      <c r="Y204" s="140"/>
      <c r="Z204" s="140"/>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1:91">
      <c r="A205" s="147"/>
      <c r="B205" s="147"/>
      <c r="C205" s="147"/>
      <c r="D205" s="147"/>
      <c r="E205" s="147"/>
      <c r="F205" s="147"/>
      <c r="G205" s="147"/>
      <c r="H205" s="147"/>
      <c r="I205" s="147"/>
      <c r="J205" s="147"/>
      <c r="K205" s="140"/>
      <c r="L205" s="140"/>
      <c r="M205" s="140"/>
      <c r="N205" s="140"/>
      <c r="O205" s="141"/>
      <c r="P205" s="140"/>
      <c r="Q205" s="140"/>
      <c r="R205" s="140"/>
      <c r="S205" s="140"/>
      <c r="T205" s="140"/>
      <c r="U205" s="140"/>
      <c r="V205" s="140"/>
      <c r="W205" s="140"/>
      <c r="X205" s="140"/>
      <c r="Y205" s="140"/>
      <c r="Z205" s="140"/>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1:91">
      <c r="A206" s="147"/>
      <c r="B206" s="147"/>
      <c r="C206" s="147"/>
      <c r="D206" s="147"/>
      <c r="E206" s="147"/>
      <c r="F206" s="147"/>
      <c r="G206" s="147"/>
      <c r="H206" s="147"/>
      <c r="I206" s="147"/>
      <c r="J206" s="147"/>
      <c r="K206" s="140"/>
      <c r="L206" s="140"/>
      <c r="M206" s="140"/>
      <c r="N206" s="140"/>
      <c r="O206" s="141"/>
      <c r="P206" s="140"/>
      <c r="Q206" s="140"/>
      <c r="R206" s="140"/>
      <c r="S206" s="140"/>
      <c r="T206" s="140"/>
      <c r="U206" s="140"/>
      <c r="V206" s="140"/>
      <c r="W206" s="140"/>
      <c r="X206" s="140"/>
      <c r="Y206" s="140"/>
      <c r="Z206" s="140"/>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1:91">
      <c r="A207" s="147"/>
      <c r="B207" s="147"/>
      <c r="C207" s="147"/>
      <c r="D207" s="147"/>
      <c r="E207" s="147"/>
      <c r="F207" s="147"/>
      <c r="G207" s="147"/>
      <c r="H207" s="147"/>
      <c r="I207" s="147"/>
      <c r="J207" s="147"/>
      <c r="K207" s="140"/>
      <c r="L207" s="140"/>
      <c r="M207" s="140"/>
      <c r="N207" s="140"/>
      <c r="O207" s="141"/>
      <c r="P207" s="140"/>
      <c r="Q207" s="140"/>
      <c r="R207" s="140"/>
      <c r="S207" s="140"/>
      <c r="T207" s="140"/>
      <c r="U207" s="140"/>
      <c r="V207" s="140"/>
      <c r="W207" s="140"/>
      <c r="X207" s="140"/>
      <c r="Y207" s="140"/>
      <c r="Z207" s="140"/>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1:91">
      <c r="A208" s="147"/>
      <c r="B208" s="147"/>
      <c r="C208" s="147"/>
      <c r="D208" s="147"/>
      <c r="E208" s="147"/>
      <c r="F208" s="147"/>
      <c r="G208" s="147"/>
      <c r="H208" s="147"/>
      <c r="I208" s="147"/>
      <c r="J208" s="147"/>
      <c r="K208" s="140"/>
      <c r="L208" s="140"/>
      <c r="M208" s="140"/>
      <c r="N208" s="140"/>
      <c r="O208" s="141"/>
      <c r="P208" s="140"/>
      <c r="Q208" s="140"/>
      <c r="R208" s="140"/>
      <c r="S208" s="140"/>
      <c r="T208" s="140"/>
      <c r="U208" s="140"/>
      <c r="V208" s="140"/>
      <c r="W208" s="140"/>
      <c r="X208" s="140"/>
      <c r="Y208" s="140"/>
      <c r="Z208" s="140"/>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1:91">
      <c r="A209" s="147"/>
      <c r="B209" s="147"/>
      <c r="C209" s="147"/>
      <c r="D209" s="147"/>
      <c r="E209" s="147"/>
      <c r="F209" s="147"/>
      <c r="G209" s="147"/>
      <c r="H209" s="147"/>
      <c r="I209" s="147"/>
      <c r="J209" s="147"/>
      <c r="K209" s="140"/>
      <c r="L209" s="140"/>
      <c r="M209" s="140"/>
      <c r="N209" s="140"/>
      <c r="O209" s="141"/>
      <c r="P209" s="140"/>
      <c r="Q209" s="140"/>
      <c r="R209" s="140"/>
      <c r="S209" s="140"/>
      <c r="T209" s="140"/>
      <c r="U209" s="140"/>
      <c r="V209" s="140"/>
      <c r="W209" s="140"/>
      <c r="X209" s="140"/>
      <c r="Y209" s="140"/>
      <c r="Z209" s="140"/>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1:91">
      <c r="A210" s="147"/>
      <c r="B210" s="147"/>
      <c r="C210" s="147"/>
      <c r="D210" s="147"/>
      <c r="E210" s="147"/>
      <c r="F210" s="147"/>
      <c r="G210" s="147"/>
      <c r="H210" s="147"/>
      <c r="I210" s="147"/>
      <c r="J210" s="147"/>
      <c r="K210" s="140"/>
      <c r="L210" s="140"/>
      <c r="M210" s="140"/>
      <c r="N210" s="140"/>
      <c r="O210" s="141"/>
      <c r="P210" s="140"/>
      <c r="Q210" s="140"/>
      <c r="R210" s="140"/>
      <c r="S210" s="140"/>
      <c r="T210" s="140"/>
      <c r="U210" s="140"/>
      <c r="V210" s="140"/>
      <c r="W210" s="140"/>
      <c r="X210" s="140"/>
      <c r="Y210" s="140"/>
      <c r="Z210" s="14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1:91">
      <c r="A211" s="147"/>
      <c r="B211" s="147"/>
      <c r="C211" s="147"/>
      <c r="D211" s="147"/>
      <c r="E211" s="147"/>
      <c r="F211" s="147"/>
      <c r="G211" s="147"/>
      <c r="H211" s="147"/>
      <c r="I211" s="147"/>
      <c r="J211" s="147"/>
      <c r="K211" s="140"/>
      <c r="L211" s="140"/>
      <c r="M211" s="140"/>
      <c r="N211" s="140"/>
      <c r="O211" s="141"/>
      <c r="P211" s="140"/>
      <c r="Q211" s="140"/>
      <c r="R211" s="140"/>
      <c r="S211" s="140"/>
      <c r="T211" s="140"/>
      <c r="U211" s="140"/>
      <c r="V211" s="140"/>
      <c r="W211" s="140"/>
      <c r="X211" s="140"/>
      <c r="Y211" s="140"/>
      <c r="Z211" s="140"/>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1:91">
      <c r="A212" s="147"/>
      <c r="B212" s="147"/>
      <c r="C212" s="147"/>
      <c r="D212" s="147"/>
      <c r="E212" s="147"/>
      <c r="F212" s="147"/>
      <c r="G212" s="147"/>
      <c r="H212" s="147"/>
      <c r="I212" s="147"/>
      <c r="J212" s="147"/>
      <c r="K212" s="140"/>
      <c r="L212" s="140"/>
      <c r="M212" s="140"/>
      <c r="N212" s="140"/>
      <c r="O212" s="141"/>
      <c r="P212" s="140"/>
      <c r="Q212" s="140"/>
      <c r="R212" s="140"/>
      <c r="S212" s="140"/>
      <c r="T212" s="140"/>
      <c r="U212" s="140"/>
      <c r="V212" s="140"/>
      <c r="W212" s="140"/>
      <c r="X212" s="140"/>
      <c r="Y212" s="140"/>
      <c r="Z212" s="140"/>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1:91">
      <c r="A213" s="147"/>
      <c r="B213" s="147"/>
      <c r="C213" s="147"/>
      <c r="D213" s="147"/>
      <c r="E213" s="147"/>
      <c r="F213" s="147"/>
      <c r="G213" s="147"/>
      <c r="H213" s="147"/>
      <c r="I213" s="147"/>
      <c r="J213" s="147"/>
      <c r="K213" s="140"/>
      <c r="L213" s="140"/>
      <c r="M213" s="140"/>
      <c r="N213" s="140"/>
      <c r="O213" s="141"/>
      <c r="P213" s="140"/>
      <c r="Q213" s="140"/>
      <c r="R213" s="140"/>
      <c r="S213" s="140"/>
      <c r="T213" s="140"/>
      <c r="U213" s="140"/>
      <c r="V213" s="140"/>
      <c r="W213" s="140"/>
      <c r="X213" s="140"/>
      <c r="Y213" s="140"/>
      <c r="Z213" s="140"/>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1:91">
      <c r="A214" s="147"/>
      <c r="B214" s="147"/>
      <c r="C214" s="147"/>
      <c r="D214" s="147"/>
      <c r="E214" s="147"/>
      <c r="F214" s="147"/>
      <c r="G214" s="147"/>
      <c r="H214" s="147"/>
      <c r="I214" s="147"/>
      <c r="J214" s="147"/>
      <c r="K214" s="140"/>
      <c r="L214" s="140"/>
      <c r="M214" s="140"/>
      <c r="N214" s="140"/>
      <c r="O214" s="141"/>
      <c r="P214" s="140"/>
      <c r="Q214" s="140"/>
      <c r="R214" s="140"/>
      <c r="S214" s="140"/>
      <c r="T214" s="140"/>
      <c r="U214" s="140"/>
      <c r="V214" s="140"/>
      <c r="W214" s="140"/>
      <c r="X214" s="140"/>
      <c r="Y214" s="140"/>
      <c r="Z214" s="140"/>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1:91">
      <c r="A215" s="147"/>
      <c r="B215" s="147"/>
      <c r="C215" s="147"/>
      <c r="D215" s="147"/>
      <c r="E215" s="147"/>
      <c r="F215" s="147"/>
      <c r="G215" s="147"/>
      <c r="H215" s="147"/>
      <c r="I215" s="147"/>
      <c r="J215" s="147"/>
      <c r="K215" s="140"/>
      <c r="L215" s="140"/>
      <c r="M215" s="140"/>
      <c r="N215" s="140"/>
      <c r="O215" s="141"/>
      <c r="P215" s="140"/>
      <c r="Q215" s="140"/>
      <c r="R215" s="140"/>
      <c r="S215" s="140"/>
      <c r="T215" s="140"/>
      <c r="U215" s="140"/>
      <c r="V215" s="140"/>
      <c r="W215" s="140"/>
      <c r="X215" s="140"/>
      <c r="Y215" s="140"/>
      <c r="Z215" s="140"/>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1:91">
      <c r="A216" s="147"/>
      <c r="B216" s="147"/>
      <c r="C216" s="147"/>
      <c r="D216" s="147"/>
      <c r="E216" s="147"/>
      <c r="F216" s="147"/>
      <c r="G216" s="147"/>
      <c r="H216" s="147"/>
      <c r="I216" s="147"/>
      <c r="J216" s="147"/>
      <c r="K216" s="140"/>
      <c r="L216" s="140"/>
      <c r="M216" s="140"/>
      <c r="N216" s="140"/>
      <c r="O216" s="141"/>
      <c r="P216" s="140"/>
      <c r="Q216" s="140"/>
      <c r="R216" s="140"/>
      <c r="S216" s="140"/>
      <c r="T216" s="140"/>
      <c r="U216" s="140"/>
      <c r="V216" s="140"/>
      <c r="W216" s="140"/>
      <c r="X216" s="140"/>
      <c r="Y216" s="140"/>
      <c r="Z216" s="140"/>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1:91">
      <c r="A217" s="147"/>
      <c r="B217" s="147"/>
      <c r="C217" s="147"/>
      <c r="D217" s="147"/>
      <c r="E217" s="147"/>
      <c r="F217" s="147"/>
      <c r="G217" s="147"/>
      <c r="H217" s="147"/>
      <c r="I217" s="147"/>
      <c r="J217" s="147"/>
      <c r="K217" s="140"/>
      <c r="L217" s="140"/>
      <c r="M217" s="140"/>
      <c r="N217" s="140"/>
      <c r="O217" s="141"/>
      <c r="P217" s="140"/>
      <c r="Q217" s="140"/>
      <c r="R217" s="140"/>
      <c r="S217" s="140"/>
      <c r="T217" s="140"/>
      <c r="U217" s="140"/>
      <c r="V217" s="140"/>
      <c r="W217" s="140"/>
      <c r="X217" s="140"/>
      <c r="Y217" s="140"/>
      <c r="Z217" s="140"/>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1:91">
      <c r="A218" s="147"/>
      <c r="B218" s="147"/>
      <c r="C218" s="147"/>
      <c r="D218" s="147"/>
      <c r="E218" s="147"/>
      <c r="F218" s="147"/>
      <c r="G218" s="147"/>
      <c r="H218" s="147"/>
      <c r="I218" s="147"/>
      <c r="J218" s="147"/>
      <c r="K218" s="140"/>
      <c r="L218" s="140"/>
      <c r="M218" s="140"/>
      <c r="N218" s="140"/>
      <c r="O218" s="141"/>
      <c r="P218" s="140"/>
      <c r="Q218" s="140"/>
      <c r="R218" s="140"/>
      <c r="S218" s="140"/>
      <c r="T218" s="140"/>
      <c r="U218" s="140"/>
      <c r="V218" s="140"/>
      <c r="W218" s="140"/>
      <c r="X218" s="140"/>
      <c r="Y218" s="140"/>
      <c r="Z218" s="140"/>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1:91">
      <c r="A219" s="147"/>
      <c r="B219" s="147"/>
      <c r="C219" s="147"/>
      <c r="D219" s="147"/>
      <c r="E219" s="147"/>
      <c r="F219" s="147"/>
      <c r="G219" s="147"/>
      <c r="H219" s="147"/>
      <c r="I219" s="147"/>
      <c r="J219" s="147"/>
      <c r="K219" s="140"/>
      <c r="L219" s="140"/>
      <c r="M219" s="140"/>
      <c r="N219" s="140"/>
      <c r="O219" s="141"/>
      <c r="P219" s="140"/>
      <c r="Q219" s="140"/>
      <c r="R219" s="140"/>
      <c r="S219" s="140"/>
      <c r="T219" s="140"/>
      <c r="U219" s="140"/>
      <c r="V219" s="140"/>
      <c r="W219" s="140"/>
      <c r="X219" s="140"/>
      <c r="Y219" s="140"/>
      <c r="Z219" s="140"/>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1:91">
      <c r="A220" s="147"/>
      <c r="B220" s="147"/>
      <c r="C220" s="147"/>
      <c r="D220" s="147"/>
      <c r="E220" s="147"/>
      <c r="F220" s="147"/>
      <c r="G220" s="147"/>
      <c r="H220" s="147"/>
      <c r="I220" s="147"/>
      <c r="J220" s="147"/>
      <c r="K220" s="140"/>
      <c r="L220" s="140"/>
      <c r="M220" s="140"/>
      <c r="N220" s="140"/>
      <c r="O220" s="141"/>
      <c r="P220" s="140"/>
      <c r="Q220" s="140"/>
      <c r="R220" s="140"/>
      <c r="S220" s="140"/>
      <c r="T220" s="140"/>
      <c r="U220" s="140"/>
      <c r="V220" s="140"/>
      <c r="W220" s="140"/>
      <c r="X220" s="140"/>
      <c r="Y220" s="140"/>
      <c r="Z220" s="14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1:91">
      <c r="A221" s="147"/>
      <c r="B221" s="147"/>
      <c r="C221" s="147"/>
      <c r="D221" s="147"/>
      <c r="E221" s="147"/>
      <c r="F221" s="147"/>
      <c r="G221" s="147"/>
      <c r="H221" s="147"/>
      <c r="I221" s="147"/>
      <c r="J221" s="147"/>
      <c r="K221" s="140"/>
      <c r="L221" s="140"/>
      <c r="M221" s="140"/>
      <c r="N221" s="140"/>
      <c r="O221" s="141"/>
      <c r="P221" s="140"/>
      <c r="Q221" s="140"/>
      <c r="R221" s="140"/>
      <c r="S221" s="140"/>
      <c r="T221" s="140"/>
      <c r="U221" s="140"/>
      <c r="V221" s="140"/>
      <c r="W221" s="140"/>
      <c r="X221" s="140"/>
      <c r="Y221" s="140"/>
      <c r="Z221" s="140"/>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1:91">
      <c r="A222" s="147"/>
      <c r="B222" s="147"/>
      <c r="C222" s="147"/>
      <c r="D222" s="147"/>
      <c r="E222" s="147"/>
      <c r="F222" s="147"/>
      <c r="G222" s="147"/>
      <c r="H222" s="147"/>
      <c r="I222" s="147"/>
      <c r="J222" s="147"/>
      <c r="K222" s="140"/>
      <c r="L222" s="140"/>
      <c r="M222" s="140"/>
      <c r="N222" s="140"/>
      <c r="O222" s="141"/>
      <c r="P222" s="140"/>
      <c r="Q222" s="140"/>
      <c r="R222" s="140"/>
      <c r="S222" s="140"/>
      <c r="T222" s="140"/>
      <c r="U222" s="140"/>
      <c r="V222" s="140"/>
      <c r="W222" s="140"/>
      <c r="X222" s="140"/>
      <c r="Y222" s="140"/>
      <c r="Z222" s="140"/>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1:91">
      <c r="A223" s="147"/>
      <c r="B223" s="147"/>
      <c r="C223" s="147"/>
      <c r="D223" s="147"/>
      <c r="E223" s="147"/>
      <c r="F223" s="147"/>
      <c r="G223" s="147"/>
      <c r="H223" s="147"/>
      <c r="I223" s="147"/>
      <c r="J223" s="147"/>
      <c r="K223" s="140"/>
      <c r="L223" s="140"/>
      <c r="M223" s="140"/>
      <c r="N223" s="140"/>
      <c r="O223" s="141"/>
      <c r="P223" s="140"/>
      <c r="Q223" s="140"/>
      <c r="R223" s="140"/>
      <c r="S223" s="140"/>
      <c r="T223" s="140"/>
      <c r="U223" s="140"/>
      <c r="V223" s="140"/>
      <c r="W223" s="140"/>
      <c r="X223" s="140"/>
      <c r="Y223" s="140"/>
      <c r="Z223" s="140"/>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1:91">
      <c r="A224" s="147"/>
      <c r="B224" s="147"/>
      <c r="C224" s="147"/>
      <c r="D224" s="147"/>
      <c r="E224" s="147"/>
      <c r="F224" s="147"/>
      <c r="G224" s="147"/>
      <c r="H224" s="147"/>
      <c r="I224" s="147"/>
      <c r="J224" s="147"/>
      <c r="K224" s="140"/>
      <c r="L224" s="140"/>
      <c r="M224" s="140"/>
      <c r="N224" s="140"/>
      <c r="O224" s="141"/>
      <c r="P224" s="140"/>
      <c r="Q224" s="140"/>
      <c r="R224" s="140"/>
      <c r="S224" s="140"/>
      <c r="T224" s="140"/>
      <c r="U224" s="140"/>
      <c r="V224" s="140"/>
      <c r="W224" s="140"/>
      <c r="X224" s="140"/>
      <c r="Y224" s="140"/>
      <c r="Z224" s="140"/>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1:91">
      <c r="A225" s="147"/>
      <c r="B225" s="147"/>
      <c r="C225" s="147"/>
      <c r="D225" s="147"/>
      <c r="E225" s="147"/>
      <c r="F225" s="147"/>
      <c r="G225" s="147"/>
      <c r="H225" s="147"/>
      <c r="I225" s="147"/>
      <c r="J225" s="147"/>
      <c r="K225" s="140"/>
      <c r="L225" s="140"/>
      <c r="M225" s="140"/>
      <c r="N225" s="140"/>
      <c r="O225" s="141"/>
      <c r="P225" s="140"/>
      <c r="Q225" s="140"/>
      <c r="R225" s="140"/>
      <c r="S225" s="140"/>
      <c r="T225" s="140"/>
      <c r="U225" s="140"/>
      <c r="V225" s="140"/>
      <c r="W225" s="140"/>
      <c r="X225" s="140"/>
      <c r="Y225" s="140"/>
      <c r="Z225" s="140"/>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1:91">
      <c r="A226" s="147"/>
      <c r="B226" s="147"/>
      <c r="C226" s="147"/>
      <c r="D226" s="147"/>
      <c r="E226" s="147"/>
      <c r="F226" s="147"/>
      <c r="G226" s="147"/>
      <c r="H226" s="147"/>
      <c r="I226" s="147"/>
      <c r="J226" s="147"/>
      <c r="K226" s="140"/>
      <c r="L226" s="140"/>
      <c r="M226" s="140"/>
      <c r="N226" s="140"/>
      <c r="O226" s="141"/>
      <c r="P226" s="140"/>
      <c r="Q226" s="140"/>
      <c r="R226" s="140"/>
      <c r="S226" s="140"/>
      <c r="T226" s="140"/>
      <c r="U226" s="140"/>
      <c r="V226" s="140"/>
      <c r="W226" s="140"/>
      <c r="X226" s="140"/>
      <c r="Y226" s="140"/>
      <c r="Z226" s="140"/>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1:91">
      <c r="A227" s="147"/>
      <c r="B227" s="147"/>
      <c r="C227" s="147"/>
      <c r="D227" s="147"/>
      <c r="E227" s="147"/>
      <c r="F227" s="147"/>
      <c r="G227" s="147"/>
      <c r="H227" s="147"/>
      <c r="I227" s="147"/>
      <c r="J227" s="147"/>
      <c r="K227" s="140"/>
      <c r="L227" s="140"/>
      <c r="M227" s="140"/>
      <c r="N227" s="140"/>
      <c r="O227" s="141"/>
      <c r="P227" s="140"/>
      <c r="Q227" s="140"/>
      <c r="R227" s="140"/>
      <c r="S227" s="140"/>
      <c r="T227" s="140"/>
      <c r="U227" s="140"/>
      <c r="V227" s="140"/>
      <c r="W227" s="140"/>
      <c r="X227" s="140"/>
      <c r="Y227" s="140"/>
      <c r="Z227" s="140"/>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1:91">
      <c r="A228" s="147"/>
      <c r="B228" s="147"/>
      <c r="C228" s="147"/>
      <c r="D228" s="147"/>
      <c r="E228" s="147"/>
      <c r="F228" s="147"/>
      <c r="G228" s="147"/>
      <c r="H228" s="147"/>
      <c r="I228" s="147"/>
      <c r="J228" s="147"/>
      <c r="K228" s="140"/>
      <c r="L228" s="140"/>
      <c r="M228" s="140"/>
      <c r="N228" s="140"/>
      <c r="O228" s="141"/>
      <c r="P228" s="140"/>
      <c r="Q228" s="140"/>
      <c r="R228" s="140"/>
      <c r="S228" s="140"/>
      <c r="T228" s="140"/>
      <c r="U228" s="140"/>
      <c r="V228" s="140"/>
      <c r="W228" s="140"/>
      <c r="X228" s="140"/>
      <c r="Y228" s="140"/>
      <c r="Z228" s="140"/>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1:91">
      <c r="A229" s="147"/>
      <c r="B229" s="147"/>
      <c r="C229" s="147"/>
      <c r="D229" s="147"/>
      <c r="E229" s="147"/>
      <c r="F229" s="147"/>
      <c r="G229" s="147"/>
      <c r="H229" s="147"/>
      <c r="I229" s="147"/>
      <c r="J229" s="147"/>
      <c r="K229" s="140"/>
      <c r="L229" s="140"/>
      <c r="M229" s="140"/>
      <c r="N229" s="140"/>
      <c r="O229" s="141"/>
      <c r="P229" s="140"/>
      <c r="Q229" s="140"/>
      <c r="R229" s="140"/>
      <c r="S229" s="140"/>
      <c r="T229" s="140"/>
      <c r="U229" s="140"/>
      <c r="V229" s="140"/>
      <c r="W229" s="140"/>
      <c r="X229" s="140"/>
      <c r="Y229" s="140"/>
      <c r="Z229" s="140"/>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1:91">
      <c r="A230" s="147"/>
      <c r="B230" s="147"/>
      <c r="C230" s="147"/>
      <c r="D230" s="147"/>
      <c r="E230" s="147"/>
      <c r="F230" s="147"/>
      <c r="G230" s="147"/>
      <c r="H230" s="147"/>
      <c r="I230" s="147"/>
      <c r="J230" s="147"/>
      <c r="K230" s="140"/>
      <c r="L230" s="140"/>
      <c r="M230" s="140"/>
      <c r="N230" s="140"/>
      <c r="O230" s="141"/>
      <c r="P230" s="140"/>
      <c r="Q230" s="140"/>
      <c r="R230" s="140"/>
      <c r="S230" s="140"/>
      <c r="T230" s="140"/>
      <c r="U230" s="140"/>
      <c r="V230" s="140"/>
      <c r="W230" s="140"/>
      <c r="X230" s="140"/>
      <c r="Y230" s="140"/>
      <c r="Z230" s="14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1:91">
      <c r="A231" s="147"/>
      <c r="B231" s="147"/>
      <c r="C231" s="147"/>
      <c r="D231" s="147"/>
      <c r="E231" s="147"/>
      <c r="F231" s="147"/>
      <c r="G231" s="147"/>
      <c r="H231" s="147"/>
      <c r="I231" s="147"/>
      <c r="J231" s="147"/>
      <c r="K231" s="140"/>
      <c r="L231" s="140"/>
      <c r="M231" s="140"/>
      <c r="N231" s="140"/>
      <c r="O231" s="141"/>
      <c r="P231" s="140"/>
      <c r="Q231" s="140"/>
      <c r="R231" s="140"/>
      <c r="S231" s="140"/>
      <c r="T231" s="140"/>
      <c r="U231" s="140"/>
      <c r="V231" s="140"/>
      <c r="W231" s="140"/>
      <c r="X231" s="140"/>
      <c r="Y231" s="140"/>
      <c r="Z231" s="140"/>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1:91">
      <c r="A232" s="147"/>
      <c r="B232" s="147"/>
      <c r="C232" s="147"/>
      <c r="D232" s="147"/>
      <c r="E232" s="147"/>
      <c r="F232" s="147"/>
      <c r="G232" s="147"/>
      <c r="H232" s="147"/>
      <c r="I232" s="147"/>
      <c r="J232" s="147"/>
      <c r="K232" s="140"/>
      <c r="L232" s="140"/>
      <c r="M232" s="140"/>
      <c r="N232" s="140"/>
      <c r="O232" s="141"/>
      <c r="P232" s="140"/>
      <c r="Q232" s="140"/>
      <c r="R232" s="140"/>
      <c r="S232" s="140"/>
      <c r="T232" s="140"/>
      <c r="U232" s="140"/>
      <c r="V232" s="140"/>
      <c r="W232" s="140"/>
      <c r="X232" s="140"/>
      <c r="Y232" s="140"/>
      <c r="Z232" s="140"/>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1:91">
      <c r="A233" s="147"/>
      <c r="B233" s="147"/>
      <c r="C233" s="147"/>
      <c r="D233" s="147"/>
      <c r="E233" s="147"/>
      <c r="F233" s="147"/>
      <c r="G233" s="147"/>
      <c r="H233" s="147"/>
      <c r="I233" s="147"/>
      <c r="J233" s="147"/>
      <c r="K233" s="140"/>
      <c r="L233" s="140"/>
      <c r="M233" s="140"/>
      <c r="N233" s="140"/>
      <c r="O233" s="141"/>
      <c r="P233" s="140"/>
      <c r="Q233" s="140"/>
      <c r="R233" s="140"/>
      <c r="S233" s="140"/>
      <c r="T233" s="140"/>
      <c r="U233" s="140"/>
      <c r="V233" s="140"/>
      <c r="W233" s="140"/>
      <c r="X233" s="140"/>
      <c r="Y233" s="140"/>
      <c r="Z233" s="140"/>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1:91">
      <c r="A234" s="147"/>
      <c r="B234" s="147"/>
      <c r="C234" s="147"/>
      <c r="D234" s="147"/>
      <c r="E234" s="147"/>
      <c r="F234" s="147"/>
      <c r="G234" s="147"/>
      <c r="H234" s="147"/>
      <c r="I234" s="147"/>
      <c r="J234" s="147"/>
      <c r="K234" s="140"/>
      <c r="L234" s="140"/>
      <c r="M234" s="140"/>
      <c r="N234" s="140"/>
      <c r="O234" s="141"/>
      <c r="P234" s="140"/>
      <c r="Q234" s="140"/>
      <c r="R234" s="140"/>
      <c r="S234" s="140"/>
      <c r="T234" s="140"/>
      <c r="U234" s="140"/>
      <c r="V234" s="140"/>
      <c r="W234" s="140"/>
      <c r="X234" s="140"/>
      <c r="Y234" s="140"/>
      <c r="Z234" s="140"/>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1:91">
      <c r="A235" s="147"/>
      <c r="B235" s="147"/>
      <c r="C235" s="147"/>
      <c r="D235" s="147"/>
      <c r="E235" s="147"/>
      <c r="F235" s="147"/>
      <c r="G235" s="147"/>
      <c r="H235" s="147"/>
      <c r="I235" s="147"/>
      <c r="J235" s="147"/>
      <c r="K235" s="140"/>
      <c r="L235" s="140"/>
      <c r="M235" s="140"/>
      <c r="N235" s="140"/>
      <c r="O235" s="141"/>
      <c r="P235" s="140"/>
      <c r="Q235" s="140"/>
      <c r="R235" s="140"/>
      <c r="S235" s="140"/>
      <c r="T235" s="140"/>
      <c r="U235" s="140"/>
      <c r="V235" s="140"/>
      <c r="W235" s="140"/>
      <c r="X235" s="140"/>
      <c r="Y235" s="140"/>
      <c r="Z235" s="140"/>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1:91">
      <c r="A236" s="147"/>
      <c r="B236" s="147"/>
      <c r="C236" s="147"/>
      <c r="D236" s="147"/>
      <c r="E236" s="147"/>
      <c r="F236" s="147"/>
      <c r="G236" s="147"/>
      <c r="H236" s="147"/>
      <c r="I236" s="147"/>
      <c r="J236" s="147"/>
      <c r="K236" s="140"/>
      <c r="L236" s="140"/>
      <c r="M236" s="140"/>
      <c r="N236" s="140"/>
      <c r="O236" s="141"/>
      <c r="P236" s="140"/>
      <c r="Q236" s="140"/>
      <c r="R236" s="140"/>
      <c r="S236" s="140"/>
      <c r="T236" s="140"/>
      <c r="U236" s="140"/>
      <c r="V236" s="140"/>
      <c r="W236" s="140"/>
      <c r="X236" s="140"/>
      <c r="Y236" s="140"/>
      <c r="Z236" s="140"/>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1:91">
      <c r="A237" s="147"/>
      <c r="B237" s="147"/>
      <c r="C237" s="147"/>
      <c r="D237" s="147"/>
      <c r="E237" s="147"/>
      <c r="F237" s="147"/>
      <c r="G237" s="147"/>
      <c r="H237" s="147"/>
      <c r="I237" s="147"/>
      <c r="J237" s="147"/>
      <c r="K237" s="140"/>
      <c r="L237" s="140"/>
      <c r="M237" s="140"/>
      <c r="N237" s="140"/>
      <c r="O237" s="141"/>
      <c r="P237" s="140"/>
      <c r="Q237" s="140"/>
      <c r="R237" s="140"/>
      <c r="S237" s="140"/>
      <c r="T237" s="140"/>
      <c r="U237" s="140"/>
      <c r="V237" s="140"/>
      <c r="W237" s="140"/>
      <c r="X237" s="140"/>
      <c r="Y237" s="140"/>
      <c r="Z237" s="140"/>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1:91">
      <c r="A238" s="147"/>
      <c r="B238" s="147"/>
      <c r="C238" s="147"/>
      <c r="D238" s="147"/>
      <c r="E238" s="147"/>
      <c r="F238" s="147"/>
      <c r="G238" s="147"/>
      <c r="H238" s="147"/>
      <c r="I238" s="147"/>
      <c r="J238" s="147"/>
      <c r="K238" s="140"/>
      <c r="L238" s="140"/>
      <c r="M238" s="140"/>
      <c r="N238" s="140"/>
      <c r="O238" s="141"/>
      <c r="P238" s="140"/>
      <c r="Q238" s="140"/>
      <c r="R238" s="140"/>
      <c r="S238" s="140"/>
      <c r="T238" s="140"/>
      <c r="U238" s="140"/>
      <c r="V238" s="140"/>
      <c r="W238" s="140"/>
      <c r="X238" s="140"/>
      <c r="Y238" s="140"/>
      <c r="Z238" s="140"/>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1:91">
      <c r="A239" s="147"/>
      <c r="B239" s="147"/>
      <c r="C239" s="147"/>
      <c r="D239" s="147"/>
      <c r="E239" s="147"/>
      <c r="F239" s="147"/>
      <c r="G239" s="147"/>
      <c r="H239" s="147"/>
      <c r="I239" s="147"/>
      <c r="J239" s="147"/>
      <c r="K239" s="140"/>
      <c r="L239" s="140"/>
      <c r="M239" s="140"/>
      <c r="N239" s="140"/>
      <c r="O239" s="141"/>
      <c r="P239" s="140"/>
      <c r="Q239" s="140"/>
      <c r="R239" s="140"/>
      <c r="S239" s="140"/>
      <c r="T239" s="140"/>
      <c r="U239" s="140"/>
      <c r="V239" s="140"/>
      <c r="W239" s="140"/>
      <c r="X239" s="140"/>
      <c r="Y239" s="140"/>
      <c r="Z239" s="140"/>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1:91">
      <c r="A240" s="147"/>
      <c r="B240" s="147"/>
      <c r="C240" s="147"/>
      <c r="D240" s="147"/>
      <c r="E240" s="147"/>
      <c r="F240" s="147"/>
      <c r="G240" s="147"/>
      <c r="H240" s="147"/>
      <c r="I240" s="147"/>
      <c r="J240" s="147"/>
      <c r="K240" s="140"/>
      <c r="L240" s="140"/>
      <c r="M240" s="140"/>
      <c r="N240" s="140"/>
      <c r="O240" s="141"/>
      <c r="P240" s="140"/>
      <c r="Q240" s="140"/>
      <c r="R240" s="140"/>
      <c r="S240" s="140"/>
      <c r="T240" s="140"/>
      <c r="U240" s="140"/>
      <c r="V240" s="140"/>
      <c r="W240" s="140"/>
      <c r="X240" s="140"/>
      <c r="Y240" s="140"/>
      <c r="Z240" s="1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1:91">
      <c r="A241" s="147"/>
      <c r="B241" s="147"/>
      <c r="C241" s="147"/>
      <c r="D241" s="147"/>
      <c r="E241" s="147"/>
      <c r="F241" s="147"/>
      <c r="G241" s="147"/>
      <c r="H241" s="147"/>
      <c r="I241" s="147"/>
      <c r="J241" s="147"/>
      <c r="K241" s="140"/>
      <c r="L241" s="140"/>
      <c r="M241" s="140"/>
      <c r="N241" s="140"/>
      <c r="O241" s="141"/>
      <c r="P241" s="140"/>
      <c r="Q241" s="140"/>
      <c r="R241" s="140"/>
      <c r="S241" s="140"/>
      <c r="T241" s="140"/>
      <c r="U241" s="140"/>
      <c r="V241" s="140"/>
      <c r="W241" s="140"/>
      <c r="X241" s="140"/>
      <c r="Y241" s="140"/>
      <c r="Z241" s="140"/>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1:91">
      <c r="A242" s="147"/>
      <c r="B242" s="147"/>
      <c r="C242" s="147"/>
      <c r="D242" s="147"/>
      <c r="E242" s="147"/>
      <c r="F242" s="147"/>
      <c r="G242" s="147"/>
      <c r="H242" s="147"/>
      <c r="I242" s="147"/>
      <c r="J242" s="147"/>
      <c r="K242" s="140"/>
      <c r="L242" s="140"/>
      <c r="M242" s="140"/>
      <c r="N242" s="140"/>
      <c r="O242" s="141"/>
      <c r="P242" s="140"/>
      <c r="Q242" s="140"/>
      <c r="R242" s="140"/>
      <c r="S242" s="140"/>
      <c r="T242" s="140"/>
      <c r="U242" s="140"/>
      <c r="V242" s="140"/>
      <c r="W242" s="140"/>
      <c r="X242" s="140"/>
      <c r="Y242" s="140"/>
      <c r="Z242" s="140"/>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1:91">
      <c r="A243" s="147"/>
      <c r="B243" s="147"/>
      <c r="C243" s="147"/>
      <c r="D243" s="147"/>
      <c r="E243" s="147"/>
      <c r="F243" s="147"/>
      <c r="G243" s="147"/>
      <c r="H243" s="147"/>
      <c r="I243" s="147"/>
      <c r="J243" s="147"/>
      <c r="K243" s="140"/>
      <c r="L243" s="140"/>
      <c r="M243" s="140"/>
      <c r="N243" s="140"/>
      <c r="O243" s="141"/>
      <c r="P243" s="140"/>
      <c r="Q243" s="140"/>
      <c r="R243" s="140"/>
      <c r="S243" s="140"/>
      <c r="T243" s="140"/>
      <c r="U243" s="140"/>
      <c r="V243" s="140"/>
      <c r="W243" s="140"/>
      <c r="X243" s="140"/>
      <c r="Y243" s="140"/>
      <c r="Z243" s="140"/>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1:91">
      <c r="A244" s="147"/>
      <c r="B244" s="147"/>
      <c r="C244" s="147"/>
      <c r="D244" s="147"/>
      <c r="E244" s="147"/>
      <c r="F244" s="147"/>
      <c r="G244" s="147"/>
      <c r="H244" s="147"/>
      <c r="I244" s="147"/>
      <c r="J244" s="147"/>
      <c r="K244" s="140"/>
      <c r="L244" s="140"/>
      <c r="M244" s="140"/>
      <c r="N244" s="140"/>
      <c r="O244" s="141"/>
      <c r="P244" s="140"/>
      <c r="Q244" s="140"/>
      <c r="R244" s="140"/>
      <c r="S244" s="140"/>
      <c r="T244" s="140"/>
      <c r="U244" s="140"/>
      <c r="V244" s="140"/>
      <c r="W244" s="140"/>
      <c r="X244" s="140"/>
      <c r="Y244" s="140"/>
      <c r="Z244" s="140"/>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1:91">
      <c r="A245" s="147"/>
      <c r="B245" s="147"/>
      <c r="C245" s="147"/>
      <c r="D245" s="147"/>
      <c r="E245" s="147"/>
      <c r="F245" s="147"/>
      <c r="G245" s="147"/>
      <c r="H245" s="147"/>
      <c r="I245" s="147"/>
      <c r="J245" s="147"/>
      <c r="K245" s="140"/>
      <c r="L245" s="140"/>
      <c r="M245" s="140"/>
      <c r="N245" s="140"/>
      <c r="O245" s="141"/>
      <c r="P245" s="140"/>
      <c r="Q245" s="140"/>
      <c r="R245" s="140"/>
      <c r="S245" s="140"/>
      <c r="T245" s="140"/>
      <c r="U245" s="140"/>
      <c r="V245" s="140"/>
      <c r="W245" s="140"/>
      <c r="X245" s="140"/>
      <c r="Y245" s="140"/>
      <c r="Z245" s="140"/>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1:91">
      <c r="A246" s="147"/>
      <c r="B246" s="147"/>
      <c r="C246" s="147"/>
      <c r="D246" s="147"/>
      <c r="E246" s="147"/>
      <c r="F246" s="147"/>
      <c r="G246" s="147"/>
      <c r="H246" s="147"/>
      <c r="I246" s="147"/>
      <c r="J246" s="147"/>
      <c r="K246" s="140"/>
      <c r="L246" s="140"/>
      <c r="M246" s="140"/>
      <c r="N246" s="140"/>
      <c r="O246" s="141"/>
      <c r="P246" s="140"/>
      <c r="Q246" s="140"/>
      <c r="R246" s="140"/>
      <c r="S246" s="140"/>
      <c r="T246" s="140"/>
      <c r="U246" s="140"/>
      <c r="V246" s="140"/>
      <c r="W246" s="140"/>
      <c r="X246" s="140"/>
      <c r="Y246" s="140"/>
      <c r="Z246" s="140"/>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1:91">
      <c r="A247" s="147"/>
      <c r="B247" s="147"/>
      <c r="C247" s="147"/>
      <c r="D247" s="147"/>
      <c r="E247" s="147"/>
      <c r="F247" s="147"/>
      <c r="G247" s="147"/>
      <c r="H247" s="147"/>
      <c r="I247" s="147"/>
      <c r="J247" s="147"/>
      <c r="K247" s="140"/>
      <c r="L247" s="140"/>
      <c r="M247" s="140"/>
      <c r="N247" s="140"/>
      <c r="O247" s="141"/>
      <c r="P247" s="140"/>
      <c r="Q247" s="140"/>
      <c r="R247" s="140"/>
      <c r="S247" s="140"/>
      <c r="T247" s="140"/>
      <c r="U247" s="140"/>
      <c r="V247" s="140"/>
      <c r="W247" s="140"/>
      <c r="X247" s="140"/>
      <c r="Y247" s="140"/>
      <c r="Z247" s="140"/>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1:91">
      <c r="A248" s="147"/>
      <c r="B248" s="147"/>
      <c r="C248" s="147"/>
      <c r="D248" s="147"/>
      <c r="E248" s="147"/>
      <c r="F248" s="147"/>
      <c r="G248" s="147"/>
      <c r="H248" s="147"/>
      <c r="I248" s="147"/>
      <c r="J248" s="147"/>
      <c r="K248" s="140"/>
      <c r="L248" s="140"/>
      <c r="M248" s="140"/>
      <c r="N248" s="140"/>
      <c r="O248" s="141"/>
      <c r="P248" s="140"/>
      <c r="Q248" s="140"/>
      <c r="R248" s="140"/>
      <c r="S248" s="140"/>
      <c r="T248" s="140"/>
      <c r="U248" s="140"/>
      <c r="V248" s="140"/>
      <c r="W248" s="140"/>
      <c r="X248" s="140"/>
      <c r="Y248" s="140"/>
      <c r="Z248" s="140"/>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1:91">
      <c r="A249" s="147"/>
      <c r="B249" s="147"/>
      <c r="C249" s="147"/>
      <c r="D249" s="147"/>
      <c r="E249" s="147"/>
      <c r="F249" s="147"/>
      <c r="G249" s="147"/>
      <c r="H249" s="147"/>
      <c r="I249" s="147"/>
      <c r="J249" s="147"/>
      <c r="K249" s="140"/>
      <c r="L249" s="140"/>
      <c r="M249" s="140"/>
      <c r="N249" s="140"/>
      <c r="O249" s="141"/>
      <c r="P249" s="140"/>
      <c r="Q249" s="140"/>
      <c r="R249" s="140"/>
      <c r="S249" s="140"/>
      <c r="T249" s="140"/>
      <c r="U249" s="140"/>
      <c r="V249" s="140"/>
      <c r="W249" s="140"/>
      <c r="X249" s="140"/>
      <c r="Y249" s="140"/>
      <c r="Z249" s="140"/>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1:91">
      <c r="A250" s="147"/>
      <c r="B250" s="147"/>
      <c r="C250" s="147"/>
      <c r="D250" s="147"/>
      <c r="E250" s="147"/>
      <c r="F250" s="147"/>
      <c r="G250" s="147"/>
      <c r="H250" s="147"/>
      <c r="I250" s="147"/>
      <c r="J250" s="147"/>
      <c r="K250" s="140"/>
      <c r="L250" s="140"/>
      <c r="M250" s="140"/>
      <c r="N250" s="140"/>
      <c r="O250" s="141"/>
      <c r="P250" s="140"/>
      <c r="Q250" s="140"/>
      <c r="R250" s="140"/>
      <c r="S250" s="140"/>
      <c r="T250" s="140"/>
      <c r="U250" s="140"/>
      <c r="V250" s="140"/>
      <c r="W250" s="140"/>
      <c r="X250" s="140"/>
      <c r="Y250" s="140"/>
      <c r="Z250" s="14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1:91">
      <c r="A251" s="147"/>
      <c r="B251" s="147"/>
      <c r="C251" s="147"/>
      <c r="D251" s="147"/>
      <c r="E251" s="147"/>
      <c r="F251" s="147"/>
      <c r="G251" s="147"/>
      <c r="H251" s="147"/>
      <c r="I251" s="147"/>
      <c r="J251" s="147"/>
      <c r="K251" s="140"/>
      <c r="L251" s="140"/>
      <c r="M251" s="140"/>
      <c r="N251" s="140"/>
      <c r="O251" s="141"/>
      <c r="P251" s="140"/>
      <c r="Q251" s="140"/>
      <c r="R251" s="140"/>
      <c r="S251" s="140"/>
      <c r="T251" s="140"/>
      <c r="U251" s="140"/>
      <c r="V251" s="140"/>
      <c r="W251" s="140"/>
      <c r="X251" s="140"/>
      <c r="Y251" s="140"/>
      <c r="Z251" s="140"/>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1:91">
      <c r="A252" s="147"/>
      <c r="B252" s="147"/>
      <c r="C252" s="147"/>
      <c r="D252" s="147"/>
      <c r="E252" s="147"/>
      <c r="F252" s="147"/>
      <c r="G252" s="147"/>
      <c r="H252" s="147"/>
      <c r="I252" s="147"/>
      <c r="J252" s="147"/>
      <c r="K252" s="140"/>
      <c r="L252" s="140"/>
      <c r="M252" s="140"/>
      <c r="N252" s="140"/>
      <c r="O252" s="141"/>
      <c r="P252" s="140"/>
      <c r="Q252" s="140"/>
      <c r="R252" s="140"/>
      <c r="S252" s="140"/>
      <c r="T252" s="140"/>
      <c r="U252" s="140"/>
      <c r="V252" s="140"/>
      <c r="W252" s="140"/>
      <c r="X252" s="140"/>
      <c r="Y252" s="140"/>
      <c r="Z252" s="140"/>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1:91">
      <c r="A253" s="147"/>
      <c r="B253" s="147"/>
      <c r="C253" s="147"/>
      <c r="D253" s="147"/>
      <c r="E253" s="147"/>
      <c r="F253" s="147"/>
      <c r="G253" s="147"/>
      <c r="H253" s="147"/>
      <c r="I253" s="147"/>
      <c r="J253" s="147"/>
      <c r="K253" s="140"/>
      <c r="L253" s="140"/>
      <c r="M253" s="140"/>
      <c r="N253" s="140"/>
      <c r="O253" s="141"/>
      <c r="P253" s="140"/>
      <c r="Q253" s="140"/>
      <c r="R253" s="140"/>
      <c r="S253" s="140"/>
      <c r="T253" s="140"/>
      <c r="U253" s="140"/>
      <c r="V253" s="140"/>
      <c r="W253" s="140"/>
      <c r="X253" s="140"/>
      <c r="Y253" s="140"/>
      <c r="Z253" s="140"/>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1:91">
      <c r="A254" s="147"/>
      <c r="B254" s="147"/>
      <c r="C254" s="147"/>
      <c r="D254" s="147"/>
      <c r="E254" s="147"/>
      <c r="F254" s="147"/>
      <c r="G254" s="147"/>
      <c r="H254" s="147"/>
      <c r="I254" s="147"/>
      <c r="J254" s="147"/>
      <c r="K254" s="140"/>
      <c r="L254" s="140"/>
      <c r="M254" s="140"/>
      <c r="N254" s="140"/>
      <c r="O254" s="141"/>
      <c r="P254" s="140"/>
      <c r="Q254" s="140"/>
      <c r="R254" s="140"/>
      <c r="S254" s="140"/>
      <c r="T254" s="140"/>
      <c r="U254" s="140"/>
      <c r="V254" s="140"/>
      <c r="W254" s="140"/>
      <c r="X254" s="140"/>
      <c r="Y254" s="140"/>
      <c r="Z254" s="140"/>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1:91">
      <c r="A255" s="147"/>
      <c r="B255" s="147"/>
      <c r="C255" s="147"/>
      <c r="D255" s="147"/>
      <c r="E255" s="147"/>
      <c r="F255" s="147"/>
      <c r="G255" s="147"/>
      <c r="H255" s="147"/>
      <c r="I255" s="147"/>
      <c r="J255" s="147"/>
      <c r="K255" s="140"/>
      <c r="L255" s="140"/>
      <c r="M255" s="140"/>
      <c r="N255" s="140"/>
      <c r="O255" s="141"/>
      <c r="P255" s="140"/>
      <c r="Q255" s="140"/>
      <c r="R255" s="140"/>
      <c r="S255" s="140"/>
      <c r="T255" s="140"/>
      <c r="U255" s="140"/>
      <c r="V255" s="140"/>
      <c r="W255" s="140"/>
      <c r="X255" s="140"/>
      <c r="Y255" s="140"/>
      <c r="Z255" s="140"/>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1:91">
      <c r="A256" s="147"/>
      <c r="B256" s="147"/>
      <c r="C256" s="147"/>
      <c r="D256" s="147"/>
      <c r="E256" s="147"/>
      <c r="F256" s="147"/>
      <c r="G256" s="147"/>
      <c r="H256" s="147"/>
      <c r="I256" s="147"/>
      <c r="J256" s="147"/>
      <c r="K256" s="140"/>
      <c r="L256" s="140"/>
      <c r="M256" s="140"/>
      <c r="N256" s="140"/>
      <c r="O256" s="141"/>
      <c r="P256" s="140"/>
      <c r="Q256" s="140"/>
      <c r="R256" s="140"/>
      <c r="S256" s="140"/>
      <c r="T256" s="140"/>
      <c r="U256" s="140"/>
      <c r="V256" s="140"/>
      <c r="W256" s="140"/>
      <c r="X256" s="140"/>
      <c r="Y256" s="140"/>
      <c r="Z256" s="140"/>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1:91">
      <c r="A257" s="147"/>
      <c r="B257" s="147"/>
      <c r="C257" s="147"/>
      <c r="D257" s="147"/>
      <c r="E257" s="147"/>
      <c r="F257" s="147"/>
      <c r="G257" s="147"/>
      <c r="H257" s="147"/>
      <c r="I257" s="147"/>
      <c r="J257" s="147"/>
      <c r="K257" s="140"/>
      <c r="L257" s="140"/>
      <c r="M257" s="140"/>
      <c r="N257" s="140"/>
      <c r="O257" s="141"/>
      <c r="P257" s="140"/>
      <c r="Q257" s="140"/>
      <c r="R257" s="140"/>
      <c r="S257" s="140"/>
      <c r="T257" s="140"/>
      <c r="U257" s="140"/>
      <c r="V257" s="140"/>
      <c r="W257" s="140"/>
      <c r="X257" s="140"/>
      <c r="Y257" s="140"/>
      <c r="Z257" s="140"/>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1:91">
      <c r="A258" s="147"/>
      <c r="B258" s="147"/>
      <c r="C258" s="147"/>
      <c r="D258" s="147"/>
      <c r="E258" s="147"/>
      <c r="F258" s="147"/>
      <c r="G258" s="147"/>
      <c r="H258" s="147"/>
      <c r="I258" s="147"/>
      <c r="J258" s="147"/>
      <c r="K258" s="140"/>
      <c r="L258" s="140"/>
      <c r="M258" s="140"/>
      <c r="N258" s="140"/>
      <c r="O258" s="141"/>
      <c r="P258" s="140"/>
      <c r="Q258" s="140"/>
      <c r="R258" s="140"/>
      <c r="S258" s="140"/>
      <c r="T258" s="140"/>
      <c r="U258" s="140"/>
      <c r="V258" s="140"/>
      <c r="W258" s="140"/>
      <c r="X258" s="140"/>
      <c r="Y258" s="140"/>
      <c r="Z258" s="140"/>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1:91">
      <c r="A259" s="147"/>
      <c r="B259" s="147"/>
      <c r="C259" s="147"/>
      <c r="D259" s="147"/>
      <c r="E259" s="147"/>
      <c r="F259" s="147"/>
      <c r="G259" s="147"/>
      <c r="H259" s="147"/>
      <c r="I259" s="147"/>
      <c r="J259" s="147"/>
      <c r="K259" s="140"/>
      <c r="L259" s="140"/>
      <c r="M259" s="140"/>
      <c r="N259" s="140"/>
      <c r="O259" s="141"/>
      <c r="P259" s="140"/>
      <c r="Q259" s="140"/>
      <c r="R259" s="140"/>
      <c r="S259" s="140"/>
      <c r="T259" s="140"/>
      <c r="U259" s="140"/>
      <c r="V259" s="140"/>
      <c r="W259" s="140"/>
      <c r="X259" s="140"/>
      <c r="Y259" s="140"/>
      <c r="Z259" s="140"/>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1:91">
      <c r="A260" s="147"/>
      <c r="B260" s="147"/>
      <c r="C260" s="147"/>
      <c r="D260" s="147"/>
      <c r="E260" s="147"/>
      <c r="F260" s="147"/>
      <c r="G260" s="147"/>
      <c r="H260" s="147"/>
      <c r="I260" s="147"/>
      <c r="J260" s="147"/>
      <c r="K260" s="140"/>
      <c r="L260" s="140"/>
      <c r="M260" s="140"/>
      <c r="N260" s="140"/>
      <c r="O260" s="141"/>
      <c r="P260" s="140"/>
      <c r="Q260" s="140"/>
      <c r="R260" s="140"/>
      <c r="S260" s="140"/>
      <c r="T260" s="140"/>
      <c r="U260" s="140"/>
      <c r="V260" s="140"/>
      <c r="W260" s="140"/>
      <c r="X260" s="140"/>
      <c r="Y260" s="140"/>
      <c r="Z260" s="14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1:91">
      <c r="A261" s="147"/>
      <c r="B261" s="147"/>
      <c r="C261" s="147"/>
      <c r="D261" s="147"/>
      <c r="E261" s="147"/>
      <c r="F261" s="147"/>
      <c r="G261" s="147"/>
      <c r="H261" s="147"/>
      <c r="I261" s="147"/>
      <c r="J261" s="147"/>
      <c r="K261" s="140"/>
      <c r="L261" s="140"/>
      <c r="M261" s="140"/>
      <c r="N261" s="140"/>
      <c r="O261" s="141"/>
      <c r="P261" s="140"/>
      <c r="Q261" s="140"/>
      <c r="R261" s="140"/>
      <c r="S261" s="140"/>
      <c r="T261" s="140"/>
      <c r="U261" s="140"/>
      <c r="V261" s="140"/>
      <c r="W261" s="140"/>
      <c r="X261" s="140"/>
      <c r="Y261" s="140"/>
      <c r="Z261" s="140"/>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1:91">
      <c r="A262" s="147"/>
      <c r="B262" s="147"/>
      <c r="C262" s="147"/>
      <c r="D262" s="147"/>
      <c r="E262" s="147"/>
      <c r="F262" s="147"/>
      <c r="G262" s="147"/>
      <c r="H262" s="147"/>
      <c r="I262" s="147"/>
      <c r="J262" s="147"/>
      <c r="K262" s="140"/>
      <c r="L262" s="140"/>
      <c r="M262" s="140"/>
      <c r="N262" s="140"/>
      <c r="O262" s="141"/>
      <c r="P262" s="140"/>
      <c r="Q262" s="140"/>
      <c r="R262" s="140"/>
      <c r="S262" s="140"/>
      <c r="T262" s="140"/>
      <c r="U262" s="140"/>
      <c r="V262" s="140"/>
      <c r="W262" s="140"/>
      <c r="X262" s="140"/>
      <c r="Y262" s="140"/>
      <c r="Z262" s="140"/>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1:91">
      <c r="A263" s="147"/>
      <c r="B263" s="147"/>
      <c r="C263" s="147"/>
      <c r="D263" s="147"/>
      <c r="E263" s="147"/>
      <c r="F263" s="147"/>
      <c r="G263" s="147"/>
      <c r="H263" s="147"/>
      <c r="I263" s="147"/>
      <c r="J263" s="147"/>
      <c r="K263" s="140"/>
      <c r="L263" s="140"/>
      <c r="M263" s="140"/>
      <c r="N263" s="140"/>
      <c r="O263" s="141"/>
      <c r="P263" s="140"/>
      <c r="Q263" s="140"/>
      <c r="R263" s="140"/>
      <c r="S263" s="140"/>
      <c r="T263" s="140"/>
      <c r="U263" s="140"/>
      <c r="V263" s="140"/>
      <c r="W263" s="140"/>
      <c r="X263" s="140"/>
      <c r="Y263" s="140"/>
      <c r="Z263" s="140"/>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1:91">
      <c r="A264" s="147"/>
      <c r="B264" s="147"/>
      <c r="C264" s="147"/>
      <c r="D264" s="147"/>
      <c r="E264" s="147"/>
      <c r="F264" s="147"/>
      <c r="G264" s="147"/>
      <c r="H264" s="147"/>
      <c r="I264" s="147"/>
      <c r="J264" s="147"/>
      <c r="K264" s="140"/>
      <c r="L264" s="140"/>
      <c r="M264" s="140"/>
      <c r="N264" s="140"/>
      <c r="O264" s="141"/>
      <c r="P264" s="140"/>
      <c r="Q264" s="140"/>
      <c r="R264" s="140"/>
      <c r="S264" s="140"/>
      <c r="T264" s="140"/>
      <c r="U264" s="140"/>
      <c r="V264" s="140"/>
      <c r="W264" s="140"/>
      <c r="X264" s="140"/>
      <c r="Y264" s="140"/>
      <c r="Z264" s="140"/>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1:91">
      <c r="A265" s="147"/>
      <c r="B265" s="147"/>
      <c r="C265" s="147"/>
      <c r="D265" s="147"/>
      <c r="E265" s="147"/>
      <c r="F265" s="147"/>
      <c r="G265" s="147"/>
      <c r="H265" s="147"/>
      <c r="I265" s="147"/>
      <c r="J265" s="147"/>
      <c r="K265" s="140"/>
      <c r="L265" s="140"/>
      <c r="M265" s="140"/>
      <c r="N265" s="140"/>
      <c r="O265" s="141"/>
      <c r="P265" s="140"/>
      <c r="Q265" s="140"/>
      <c r="R265" s="140"/>
      <c r="S265" s="140"/>
      <c r="T265" s="140"/>
      <c r="U265" s="140"/>
      <c r="V265" s="140"/>
      <c r="W265" s="140"/>
      <c r="X265" s="140"/>
      <c r="Y265" s="140"/>
      <c r="Z265" s="140"/>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1:91">
      <c r="A266" s="147"/>
      <c r="B266" s="147"/>
      <c r="C266" s="147"/>
      <c r="D266" s="147"/>
      <c r="E266" s="147"/>
      <c r="F266" s="147"/>
      <c r="G266" s="147"/>
      <c r="H266" s="147"/>
      <c r="I266" s="147"/>
      <c r="J266" s="147"/>
      <c r="K266" s="140"/>
      <c r="L266" s="140"/>
      <c r="M266" s="140"/>
      <c r="N266" s="140"/>
      <c r="O266" s="141"/>
      <c r="P266" s="140"/>
      <c r="Q266" s="140"/>
      <c r="R266" s="140"/>
      <c r="S266" s="140"/>
      <c r="T266" s="140"/>
      <c r="U266" s="140"/>
      <c r="V266" s="140"/>
      <c r="W266" s="140"/>
      <c r="X266" s="140"/>
      <c r="Y266" s="140"/>
      <c r="Z266" s="140"/>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1:91">
      <c r="A267" s="147"/>
      <c r="B267" s="147"/>
      <c r="C267" s="147"/>
      <c r="D267" s="147"/>
      <c r="E267" s="147"/>
      <c r="F267" s="147"/>
      <c r="G267" s="147"/>
      <c r="H267" s="147"/>
      <c r="I267" s="147"/>
      <c r="J267" s="147"/>
      <c r="K267" s="140"/>
      <c r="L267" s="140"/>
      <c r="M267" s="140"/>
      <c r="N267" s="140"/>
      <c r="O267" s="141"/>
      <c r="P267" s="140"/>
      <c r="Q267" s="140"/>
      <c r="R267" s="140"/>
      <c r="S267" s="140"/>
      <c r="T267" s="140"/>
      <c r="U267" s="140"/>
      <c r="V267" s="140"/>
      <c r="W267" s="140"/>
      <c r="X267" s="140"/>
      <c r="Y267" s="140"/>
      <c r="Z267" s="140"/>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1:91">
      <c r="A268" s="147"/>
      <c r="B268" s="147"/>
      <c r="C268" s="147"/>
      <c r="D268" s="147"/>
      <c r="E268" s="147"/>
      <c r="F268" s="147"/>
      <c r="G268" s="147"/>
      <c r="H268" s="147"/>
      <c r="I268" s="147"/>
      <c r="J268" s="147"/>
      <c r="K268" s="140"/>
      <c r="L268" s="140"/>
      <c r="M268" s="140"/>
      <c r="N268" s="140"/>
      <c r="O268" s="141"/>
      <c r="P268" s="140"/>
      <c r="Q268" s="140"/>
      <c r="R268" s="140"/>
      <c r="S268" s="140"/>
      <c r="T268" s="140"/>
      <c r="U268" s="140"/>
      <c r="V268" s="140"/>
      <c r="W268" s="140"/>
      <c r="X268" s="140"/>
      <c r="Y268" s="140"/>
      <c r="Z268" s="140"/>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1:91">
      <c r="A269" s="147"/>
      <c r="B269" s="147"/>
      <c r="C269" s="147"/>
      <c r="D269" s="147"/>
      <c r="E269" s="147"/>
      <c r="F269" s="147"/>
      <c r="G269" s="147"/>
      <c r="H269" s="147"/>
      <c r="I269" s="147"/>
      <c r="J269" s="147"/>
      <c r="K269" s="140"/>
      <c r="L269" s="140"/>
      <c r="M269" s="140"/>
      <c r="N269" s="140"/>
      <c r="O269" s="141"/>
      <c r="P269" s="140"/>
      <c r="Q269" s="140"/>
      <c r="R269" s="140"/>
      <c r="S269" s="140"/>
      <c r="T269" s="140"/>
      <c r="U269" s="140"/>
      <c r="V269" s="140"/>
      <c r="W269" s="140"/>
      <c r="X269" s="140"/>
      <c r="Y269" s="140"/>
      <c r="Z269" s="140"/>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1:91">
      <c r="A270" s="147"/>
      <c r="B270" s="147"/>
      <c r="C270" s="147"/>
      <c r="D270" s="147"/>
      <c r="E270" s="147"/>
      <c r="F270" s="147"/>
      <c r="G270" s="147"/>
      <c r="H270" s="147"/>
      <c r="I270" s="147"/>
      <c r="J270" s="147"/>
      <c r="K270" s="140"/>
      <c r="L270" s="140"/>
      <c r="M270" s="140"/>
      <c r="N270" s="140"/>
      <c r="O270" s="141"/>
      <c r="P270" s="140"/>
      <c r="Q270" s="140"/>
      <c r="R270" s="140"/>
      <c r="S270" s="140"/>
      <c r="T270" s="140"/>
      <c r="U270" s="140"/>
      <c r="V270" s="140"/>
      <c r="W270" s="140"/>
      <c r="X270" s="140"/>
      <c r="Y270" s="140"/>
      <c r="Z270" s="14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1:91">
      <c r="A271" s="147"/>
      <c r="B271" s="147"/>
      <c r="C271" s="147"/>
      <c r="D271" s="147"/>
      <c r="E271" s="147"/>
      <c r="F271" s="147"/>
      <c r="G271" s="147"/>
      <c r="H271" s="147"/>
      <c r="I271" s="147"/>
      <c r="J271" s="147"/>
      <c r="K271" s="140"/>
      <c r="L271" s="140"/>
      <c r="M271" s="140"/>
      <c r="N271" s="140"/>
      <c r="O271" s="141"/>
      <c r="P271" s="140"/>
      <c r="Q271" s="140"/>
      <c r="R271" s="140"/>
      <c r="S271" s="140"/>
      <c r="T271" s="140"/>
      <c r="U271" s="140"/>
      <c r="V271" s="140"/>
      <c r="W271" s="140"/>
      <c r="X271" s="140"/>
      <c r="Y271" s="140"/>
      <c r="Z271" s="140"/>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1:91">
      <c r="A272" s="147"/>
      <c r="B272" s="147"/>
      <c r="C272" s="147"/>
      <c r="D272" s="147"/>
      <c r="E272" s="147"/>
      <c r="F272" s="147"/>
      <c r="G272" s="147"/>
      <c r="H272" s="147"/>
      <c r="I272" s="147"/>
      <c r="J272" s="147"/>
      <c r="K272" s="140"/>
      <c r="L272" s="140"/>
      <c r="M272" s="140"/>
      <c r="N272" s="140"/>
      <c r="O272" s="141"/>
      <c r="P272" s="140"/>
      <c r="Q272" s="140"/>
      <c r="R272" s="140"/>
      <c r="S272" s="140"/>
      <c r="T272" s="140"/>
      <c r="U272" s="140"/>
      <c r="V272" s="140"/>
      <c r="W272" s="140"/>
      <c r="X272" s="140"/>
      <c r="Y272" s="140"/>
      <c r="Z272" s="140"/>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1:91">
      <c r="A273" s="147"/>
      <c r="B273" s="147"/>
      <c r="C273" s="147"/>
      <c r="D273" s="147"/>
      <c r="E273" s="147"/>
      <c r="F273" s="147"/>
      <c r="G273" s="147"/>
      <c r="H273" s="147"/>
      <c r="I273" s="147"/>
      <c r="J273" s="147"/>
      <c r="K273" s="140"/>
      <c r="L273" s="140"/>
      <c r="M273" s="140"/>
      <c r="N273" s="140"/>
      <c r="O273" s="141"/>
      <c r="P273" s="140"/>
      <c r="Q273" s="140"/>
      <c r="R273" s="140"/>
      <c r="S273" s="140"/>
      <c r="T273" s="140"/>
      <c r="U273" s="140"/>
      <c r="V273" s="140"/>
      <c r="W273" s="140"/>
      <c r="X273" s="140"/>
      <c r="Y273" s="140"/>
      <c r="Z273" s="140"/>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1:91">
      <c r="A274" s="147"/>
      <c r="B274" s="147"/>
      <c r="C274" s="147"/>
      <c r="D274" s="147"/>
      <c r="E274" s="147"/>
      <c r="F274" s="147"/>
      <c r="G274" s="147"/>
      <c r="H274" s="147"/>
      <c r="I274" s="147"/>
      <c r="J274" s="147"/>
      <c r="K274" s="140"/>
      <c r="L274" s="140"/>
      <c r="M274" s="140"/>
      <c r="N274" s="140"/>
      <c r="O274" s="141"/>
      <c r="P274" s="140"/>
      <c r="Q274" s="140"/>
      <c r="R274" s="140"/>
      <c r="S274" s="140"/>
      <c r="T274" s="140"/>
      <c r="U274" s="140"/>
      <c r="V274" s="140"/>
      <c r="W274" s="140"/>
      <c r="X274" s="140"/>
      <c r="Y274" s="140"/>
      <c r="Z274" s="140"/>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1:91">
      <c r="A275" s="147"/>
      <c r="B275" s="147"/>
      <c r="C275" s="147"/>
      <c r="D275" s="147"/>
      <c r="E275" s="147"/>
      <c r="F275" s="147"/>
      <c r="G275" s="147"/>
      <c r="H275" s="147"/>
      <c r="I275" s="147"/>
      <c r="J275" s="147"/>
      <c r="K275" s="140"/>
      <c r="L275" s="140"/>
      <c r="M275" s="140"/>
      <c r="N275" s="140"/>
      <c r="O275" s="141"/>
      <c r="P275" s="140"/>
      <c r="Q275" s="140"/>
      <c r="R275" s="140"/>
      <c r="S275" s="140"/>
      <c r="T275" s="140"/>
      <c r="U275" s="140"/>
      <c r="V275" s="140"/>
      <c r="W275" s="140"/>
      <c r="X275" s="140"/>
      <c r="Y275" s="140"/>
      <c r="Z275" s="140"/>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1:91">
      <c r="A276" s="147"/>
      <c r="B276" s="147"/>
      <c r="C276" s="147"/>
      <c r="D276" s="147"/>
      <c r="E276" s="147"/>
      <c r="F276" s="147"/>
      <c r="G276" s="147"/>
      <c r="H276" s="147"/>
      <c r="I276" s="147"/>
      <c r="J276" s="147"/>
      <c r="K276" s="140"/>
      <c r="L276" s="140"/>
      <c r="M276" s="140"/>
      <c r="N276" s="140"/>
      <c r="O276" s="141"/>
      <c r="P276" s="140"/>
      <c r="Q276" s="140"/>
      <c r="R276" s="140"/>
      <c r="S276" s="140"/>
      <c r="T276" s="140"/>
      <c r="U276" s="140"/>
      <c r="V276" s="140"/>
      <c r="W276" s="140"/>
      <c r="X276" s="140"/>
      <c r="Y276" s="140"/>
      <c r="Z276" s="140"/>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1:91">
      <c r="A277" s="147"/>
      <c r="B277" s="147"/>
      <c r="C277" s="147"/>
      <c r="D277" s="147"/>
      <c r="E277" s="147"/>
      <c r="F277" s="147"/>
      <c r="G277" s="147"/>
      <c r="H277" s="147"/>
      <c r="I277" s="147"/>
      <c r="J277" s="147"/>
      <c r="K277" s="140"/>
      <c r="L277" s="140"/>
      <c r="M277" s="140"/>
      <c r="N277" s="140"/>
      <c r="O277" s="141"/>
      <c r="P277" s="140"/>
      <c r="Q277" s="140"/>
      <c r="R277" s="140"/>
      <c r="S277" s="140"/>
      <c r="T277" s="140"/>
      <c r="U277" s="140"/>
      <c r="V277" s="140"/>
      <c r="W277" s="140"/>
      <c r="X277" s="140"/>
      <c r="Y277" s="140"/>
      <c r="Z277" s="140"/>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1:91">
      <c r="A278" s="147"/>
      <c r="B278" s="147"/>
      <c r="C278" s="147"/>
      <c r="D278" s="147"/>
      <c r="E278" s="147"/>
      <c r="F278" s="147"/>
      <c r="G278" s="147"/>
      <c r="H278" s="147"/>
      <c r="I278" s="147"/>
      <c r="J278" s="147"/>
      <c r="K278" s="140"/>
      <c r="L278" s="140"/>
      <c r="M278" s="140"/>
      <c r="N278" s="140"/>
      <c r="O278" s="141"/>
      <c r="P278" s="140"/>
      <c r="Q278" s="140"/>
      <c r="R278" s="140"/>
      <c r="S278" s="140"/>
      <c r="T278" s="140"/>
      <c r="U278" s="140"/>
      <c r="V278" s="140"/>
      <c r="W278" s="140"/>
      <c r="X278" s="140"/>
      <c r="Y278" s="140"/>
      <c r="Z278" s="140"/>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1:91">
      <c r="A279" s="147"/>
      <c r="B279" s="147"/>
      <c r="C279" s="147"/>
      <c r="D279" s="147"/>
      <c r="E279" s="147"/>
      <c r="F279" s="147"/>
      <c r="G279" s="147"/>
      <c r="H279" s="147"/>
      <c r="I279" s="147"/>
      <c r="J279" s="147"/>
      <c r="K279" s="140"/>
      <c r="L279" s="140"/>
      <c r="M279" s="140"/>
      <c r="N279" s="140"/>
      <c r="O279" s="141"/>
      <c r="P279" s="140"/>
      <c r="Q279" s="140"/>
      <c r="R279" s="140"/>
      <c r="S279" s="140"/>
      <c r="T279" s="140"/>
      <c r="U279" s="140"/>
      <c r="V279" s="140"/>
      <c r="W279" s="140"/>
      <c r="X279" s="140"/>
      <c r="Y279" s="140"/>
      <c r="Z279" s="140"/>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1:91">
      <c r="A280" s="147"/>
      <c r="B280" s="147"/>
      <c r="C280" s="147"/>
      <c r="D280" s="147"/>
      <c r="E280" s="147"/>
      <c r="F280" s="147"/>
      <c r="G280" s="147"/>
      <c r="H280" s="147"/>
      <c r="I280" s="147"/>
      <c r="J280" s="147"/>
      <c r="K280" s="140"/>
      <c r="L280" s="140"/>
      <c r="M280" s="140"/>
      <c r="N280" s="140"/>
      <c r="O280" s="141"/>
      <c r="P280" s="140"/>
      <c r="Q280" s="140"/>
      <c r="R280" s="140"/>
      <c r="S280" s="140"/>
      <c r="T280" s="140"/>
      <c r="U280" s="140"/>
      <c r="V280" s="140"/>
      <c r="W280" s="140"/>
      <c r="X280" s="140"/>
      <c r="Y280" s="140"/>
      <c r="Z280" s="14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1:91">
      <c r="A281" s="147"/>
      <c r="B281" s="147"/>
      <c r="C281" s="147"/>
      <c r="D281" s="147"/>
      <c r="E281" s="147"/>
      <c r="F281" s="147"/>
      <c r="G281" s="147"/>
      <c r="H281" s="147"/>
      <c r="I281" s="147"/>
      <c r="J281" s="147"/>
      <c r="K281" s="140"/>
      <c r="L281" s="140"/>
      <c r="M281" s="140"/>
      <c r="N281" s="140"/>
      <c r="O281" s="141"/>
      <c r="P281" s="140"/>
      <c r="Q281" s="140"/>
      <c r="R281" s="140"/>
      <c r="S281" s="140"/>
      <c r="T281" s="140"/>
      <c r="U281" s="140"/>
      <c r="V281" s="140"/>
      <c r="W281" s="140"/>
      <c r="X281" s="140"/>
      <c r="Y281" s="140"/>
      <c r="Z281" s="140"/>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1:91">
      <c r="A282" s="147"/>
      <c r="B282" s="147"/>
      <c r="C282" s="147"/>
      <c r="D282" s="147"/>
      <c r="E282" s="147"/>
      <c r="F282" s="147"/>
      <c r="G282" s="147"/>
      <c r="H282" s="147"/>
      <c r="I282" s="147"/>
      <c r="J282" s="147"/>
      <c r="K282" s="140"/>
      <c r="L282" s="140"/>
      <c r="M282" s="140"/>
      <c r="N282" s="140"/>
      <c r="O282" s="141"/>
      <c r="P282" s="140"/>
      <c r="Q282" s="140"/>
      <c r="R282" s="140"/>
      <c r="S282" s="140"/>
      <c r="T282" s="140"/>
      <c r="U282" s="140"/>
      <c r="V282" s="140"/>
      <c r="W282" s="140"/>
      <c r="X282" s="140"/>
      <c r="Y282" s="140"/>
      <c r="Z282" s="140"/>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1:91">
      <c r="A283" s="147"/>
      <c r="B283" s="147"/>
      <c r="C283" s="147"/>
      <c r="D283" s="147"/>
      <c r="E283" s="147"/>
      <c r="F283" s="147"/>
      <c r="G283" s="147"/>
      <c r="H283" s="147"/>
      <c r="I283" s="147"/>
      <c r="J283" s="147"/>
      <c r="K283" s="140"/>
      <c r="L283" s="140"/>
      <c r="M283" s="140"/>
      <c r="N283" s="140"/>
      <c r="O283" s="141"/>
      <c r="P283" s="140"/>
      <c r="Q283" s="140"/>
      <c r="R283" s="140"/>
      <c r="S283" s="140"/>
      <c r="T283" s="140"/>
      <c r="U283" s="140"/>
      <c r="V283" s="140"/>
      <c r="W283" s="140"/>
      <c r="X283" s="140"/>
      <c r="Y283" s="140"/>
      <c r="Z283" s="140"/>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1:91">
      <c r="A284" s="147"/>
      <c r="B284" s="147"/>
      <c r="C284" s="147"/>
      <c r="D284" s="147"/>
      <c r="E284" s="147"/>
      <c r="F284" s="147"/>
      <c r="G284" s="147"/>
      <c r="H284" s="147"/>
      <c r="I284" s="147"/>
      <c r="J284" s="147"/>
      <c r="K284" s="140"/>
      <c r="L284" s="140"/>
      <c r="M284" s="140"/>
      <c r="N284" s="140"/>
      <c r="O284" s="141"/>
      <c r="P284" s="140"/>
      <c r="Q284" s="140"/>
      <c r="R284" s="140"/>
      <c r="S284" s="140"/>
      <c r="T284" s="140"/>
      <c r="U284" s="140"/>
      <c r="V284" s="140"/>
      <c r="W284" s="140"/>
      <c r="X284" s="140"/>
      <c r="Y284" s="140"/>
      <c r="Z284" s="140"/>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1:91">
      <c r="A285" s="147"/>
      <c r="B285" s="147"/>
      <c r="C285" s="147"/>
      <c r="D285" s="147"/>
      <c r="E285" s="147"/>
      <c r="F285" s="147"/>
      <c r="G285" s="147"/>
      <c r="H285" s="147"/>
      <c r="I285" s="147"/>
      <c r="J285" s="147"/>
      <c r="K285" s="140"/>
      <c r="L285" s="140"/>
      <c r="M285" s="140"/>
      <c r="N285" s="140"/>
      <c r="O285" s="141"/>
      <c r="P285" s="140"/>
      <c r="Q285" s="140"/>
      <c r="R285" s="140"/>
      <c r="S285" s="140"/>
      <c r="T285" s="140"/>
      <c r="U285" s="140"/>
      <c r="V285" s="140"/>
      <c r="W285" s="140"/>
      <c r="X285" s="140"/>
      <c r="Y285" s="140"/>
      <c r="Z285" s="140"/>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1:91">
      <c r="A286" s="147"/>
      <c r="B286" s="147"/>
      <c r="C286" s="147"/>
      <c r="D286" s="147"/>
      <c r="E286" s="147"/>
      <c r="F286" s="147"/>
      <c r="G286" s="147"/>
      <c r="H286" s="147"/>
      <c r="I286" s="147"/>
      <c r="J286" s="147"/>
      <c r="K286" s="140"/>
      <c r="L286" s="140"/>
      <c r="M286" s="140"/>
      <c r="N286" s="140"/>
      <c r="O286" s="141"/>
      <c r="P286" s="140"/>
      <c r="Q286" s="140"/>
      <c r="R286" s="140"/>
      <c r="S286" s="140"/>
      <c r="T286" s="140"/>
      <c r="U286" s="140"/>
      <c r="V286" s="140"/>
      <c r="W286" s="140"/>
      <c r="X286" s="140"/>
      <c r="Y286" s="140"/>
      <c r="Z286" s="140"/>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1:91">
      <c r="A287" s="147"/>
      <c r="B287" s="147"/>
      <c r="C287" s="147"/>
      <c r="D287" s="147"/>
      <c r="E287" s="147"/>
      <c r="F287" s="147"/>
      <c r="G287" s="147"/>
      <c r="H287" s="147"/>
      <c r="I287" s="147"/>
      <c r="J287" s="147"/>
      <c r="K287" s="140"/>
      <c r="L287" s="140"/>
      <c r="M287" s="140"/>
      <c r="N287" s="140"/>
      <c r="O287" s="141"/>
      <c r="P287" s="140"/>
      <c r="Q287" s="140"/>
      <c r="R287" s="140"/>
      <c r="S287" s="140"/>
      <c r="T287" s="140"/>
      <c r="U287" s="140"/>
      <c r="V287" s="140"/>
      <c r="W287" s="140"/>
      <c r="X287" s="140"/>
      <c r="Y287" s="140"/>
      <c r="Z287" s="140"/>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1:91">
      <c r="A288" s="147"/>
      <c r="B288" s="147"/>
      <c r="C288" s="147"/>
      <c r="D288" s="147"/>
      <c r="E288" s="147"/>
      <c r="F288" s="147"/>
      <c r="G288" s="147"/>
      <c r="H288" s="147"/>
      <c r="I288" s="147"/>
      <c r="J288" s="147"/>
      <c r="K288" s="140"/>
      <c r="L288" s="140"/>
      <c r="M288" s="140"/>
      <c r="N288" s="140"/>
      <c r="O288" s="141"/>
      <c r="P288" s="140"/>
      <c r="Q288" s="140"/>
      <c r="R288" s="140"/>
      <c r="S288" s="140"/>
      <c r="T288" s="140"/>
      <c r="U288" s="140"/>
      <c r="V288" s="140"/>
      <c r="W288" s="140"/>
      <c r="X288" s="140"/>
      <c r="Y288" s="140"/>
      <c r="Z288" s="140"/>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1:91">
      <c r="A289" s="147"/>
      <c r="B289" s="147"/>
      <c r="C289" s="147"/>
      <c r="D289" s="147"/>
      <c r="E289" s="147"/>
      <c r="F289" s="147"/>
      <c r="G289" s="147"/>
      <c r="H289" s="147"/>
      <c r="I289" s="147"/>
      <c r="J289" s="147"/>
      <c r="K289" s="140"/>
      <c r="L289" s="140"/>
      <c r="M289" s="140"/>
      <c r="N289" s="140"/>
      <c r="O289" s="141"/>
      <c r="P289" s="140"/>
      <c r="Q289" s="140"/>
      <c r="R289" s="140"/>
      <c r="S289" s="140"/>
      <c r="T289" s="140"/>
      <c r="U289" s="140"/>
      <c r="V289" s="140"/>
      <c r="W289" s="140"/>
      <c r="X289" s="140"/>
      <c r="Y289" s="140"/>
      <c r="Z289" s="140"/>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1:91">
      <c r="A290" s="147"/>
      <c r="B290" s="147"/>
      <c r="C290" s="147"/>
      <c r="D290" s="147"/>
      <c r="E290" s="147"/>
      <c r="F290" s="147"/>
      <c r="G290" s="147"/>
      <c r="H290" s="147"/>
      <c r="I290" s="147"/>
      <c r="J290" s="147"/>
      <c r="K290" s="140"/>
      <c r="L290" s="140"/>
      <c r="M290" s="140"/>
      <c r="N290" s="140"/>
      <c r="O290" s="141"/>
      <c r="P290" s="140"/>
      <c r="Q290" s="140"/>
      <c r="R290" s="140"/>
      <c r="S290" s="140"/>
      <c r="T290" s="140"/>
      <c r="U290" s="140"/>
      <c r="V290" s="140"/>
      <c r="W290" s="140"/>
      <c r="X290" s="140"/>
      <c r="Y290" s="140"/>
      <c r="Z290" s="14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1:91">
      <c r="A291" s="147"/>
      <c r="B291" s="147"/>
      <c r="C291" s="147"/>
      <c r="D291" s="147"/>
      <c r="E291" s="147"/>
      <c r="F291" s="147"/>
      <c r="G291" s="147"/>
      <c r="H291" s="147"/>
      <c r="I291" s="147"/>
      <c r="J291" s="147"/>
      <c r="K291" s="140"/>
      <c r="L291" s="140"/>
      <c r="M291" s="140"/>
      <c r="N291" s="140"/>
      <c r="O291" s="141"/>
      <c r="P291" s="140"/>
      <c r="Q291" s="140"/>
      <c r="R291" s="140"/>
      <c r="S291" s="140"/>
      <c r="T291" s="140"/>
      <c r="U291" s="140"/>
      <c r="V291" s="140"/>
      <c r="W291" s="140"/>
      <c r="X291" s="140"/>
      <c r="Y291" s="140"/>
      <c r="Z291" s="140"/>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1:91">
      <c r="A292" s="147"/>
      <c r="B292" s="147"/>
      <c r="C292" s="147"/>
      <c r="D292" s="147"/>
      <c r="E292" s="147"/>
      <c r="F292" s="147"/>
      <c r="G292" s="147"/>
      <c r="H292" s="147"/>
      <c r="I292" s="147"/>
      <c r="J292" s="147"/>
      <c r="K292" s="140"/>
      <c r="L292" s="140"/>
      <c r="M292" s="140"/>
      <c r="N292" s="140"/>
      <c r="O292" s="141"/>
      <c r="P292" s="140"/>
      <c r="Q292" s="140"/>
      <c r="R292" s="140"/>
      <c r="S292" s="140"/>
      <c r="T292" s="140"/>
      <c r="U292" s="140"/>
      <c r="V292" s="140"/>
      <c r="W292" s="140"/>
      <c r="X292" s="140"/>
      <c r="Y292" s="140"/>
      <c r="Z292" s="140"/>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1:91">
      <c r="A293" s="147"/>
      <c r="B293" s="147"/>
      <c r="C293" s="147"/>
      <c r="D293" s="147"/>
      <c r="E293" s="147"/>
      <c r="F293" s="147"/>
      <c r="G293" s="147"/>
      <c r="H293" s="147"/>
      <c r="I293" s="147"/>
      <c r="J293" s="147"/>
      <c r="K293" s="140"/>
      <c r="L293" s="140"/>
      <c r="M293" s="140"/>
      <c r="N293" s="140"/>
      <c r="O293" s="141"/>
      <c r="P293" s="140"/>
      <c r="Q293" s="140"/>
      <c r="R293" s="140"/>
      <c r="S293" s="140"/>
      <c r="T293" s="140"/>
      <c r="U293" s="140"/>
      <c r="V293" s="140"/>
      <c r="W293" s="140"/>
      <c r="X293" s="140"/>
      <c r="Y293" s="140"/>
      <c r="Z293" s="140"/>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1:91">
      <c r="A294" s="147"/>
      <c r="B294" s="147"/>
      <c r="C294" s="147"/>
      <c r="D294" s="147"/>
      <c r="E294" s="147"/>
      <c r="F294" s="147"/>
      <c r="G294" s="147"/>
      <c r="H294" s="147"/>
      <c r="I294" s="147"/>
      <c r="J294" s="147"/>
      <c r="K294" s="140"/>
      <c r="L294" s="140"/>
      <c r="M294" s="140"/>
      <c r="N294" s="140"/>
      <c r="O294" s="141"/>
      <c r="P294" s="140"/>
      <c r="Q294" s="140"/>
      <c r="R294" s="140"/>
      <c r="S294" s="140"/>
      <c r="T294" s="140"/>
      <c r="U294" s="140"/>
      <c r="V294" s="140"/>
      <c r="W294" s="140"/>
      <c r="X294" s="140"/>
      <c r="Y294" s="140"/>
      <c r="Z294" s="140"/>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1:91">
      <c r="A295" s="147"/>
      <c r="B295" s="147"/>
      <c r="C295" s="147"/>
      <c r="D295" s="147"/>
      <c r="E295" s="147"/>
      <c r="F295" s="147"/>
      <c r="G295" s="147"/>
      <c r="H295" s="147"/>
      <c r="I295" s="147"/>
      <c r="J295" s="147"/>
      <c r="K295" s="140"/>
      <c r="L295" s="140"/>
      <c r="M295" s="140"/>
      <c r="N295" s="140"/>
      <c r="O295" s="141"/>
      <c r="P295" s="140"/>
      <c r="Q295" s="140"/>
      <c r="R295" s="140"/>
      <c r="S295" s="140"/>
      <c r="T295" s="140"/>
      <c r="U295" s="140"/>
      <c r="V295" s="140"/>
      <c r="W295" s="140"/>
      <c r="X295" s="140"/>
      <c r="Y295" s="140"/>
      <c r="Z295" s="140"/>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1:91">
      <c r="A296" s="147"/>
      <c r="B296" s="147"/>
      <c r="C296" s="147"/>
      <c r="D296" s="147"/>
      <c r="E296" s="147"/>
      <c r="F296" s="147"/>
      <c r="G296" s="147"/>
      <c r="H296" s="147"/>
      <c r="I296" s="147"/>
      <c r="J296" s="147"/>
      <c r="K296" s="140"/>
      <c r="L296" s="140"/>
      <c r="M296" s="140"/>
      <c r="N296" s="140"/>
      <c r="O296" s="141"/>
      <c r="P296" s="140"/>
      <c r="Q296" s="140"/>
      <c r="R296" s="140"/>
      <c r="S296" s="140"/>
      <c r="T296" s="140"/>
      <c r="U296" s="140"/>
      <c r="V296" s="140"/>
      <c r="W296" s="140"/>
      <c r="X296" s="140"/>
      <c r="Y296" s="140"/>
      <c r="Z296" s="140"/>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1:91">
      <c r="A297" s="147"/>
      <c r="B297" s="147"/>
      <c r="C297" s="147"/>
      <c r="D297" s="147"/>
      <c r="E297" s="147"/>
      <c r="F297" s="147"/>
      <c r="G297" s="147"/>
      <c r="H297" s="147"/>
      <c r="I297" s="147"/>
      <c r="J297" s="147"/>
      <c r="K297" s="140"/>
      <c r="L297" s="140"/>
      <c r="M297" s="140"/>
      <c r="N297" s="140"/>
      <c r="O297" s="141"/>
      <c r="P297" s="140"/>
      <c r="Q297" s="140"/>
      <c r="R297" s="140"/>
      <c r="S297" s="140"/>
      <c r="T297" s="140"/>
      <c r="U297" s="140"/>
      <c r="V297" s="140"/>
      <c r="W297" s="140"/>
      <c r="X297" s="140"/>
      <c r="Y297" s="140"/>
      <c r="Z297" s="140"/>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1:91">
      <c r="A298" s="147"/>
      <c r="B298" s="147"/>
      <c r="C298" s="147"/>
      <c r="D298" s="147"/>
      <c r="E298" s="147"/>
      <c r="F298" s="147"/>
      <c r="G298" s="147"/>
      <c r="H298" s="147"/>
      <c r="I298" s="147"/>
      <c r="J298" s="147"/>
      <c r="K298" s="140"/>
      <c r="L298" s="140"/>
      <c r="M298" s="140"/>
      <c r="N298" s="140"/>
      <c r="O298" s="141"/>
      <c r="P298" s="140"/>
      <c r="Q298" s="140"/>
      <c r="R298" s="140"/>
      <c r="S298" s="140"/>
      <c r="T298" s="140"/>
      <c r="U298" s="140"/>
      <c r="V298" s="140"/>
      <c r="W298" s="140"/>
      <c r="X298" s="140"/>
      <c r="Y298" s="140"/>
      <c r="Z298" s="140"/>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1:91">
      <c r="A299" s="147"/>
      <c r="B299" s="147"/>
      <c r="C299" s="147"/>
      <c r="D299" s="147"/>
      <c r="E299" s="147"/>
      <c r="F299" s="147"/>
      <c r="G299" s="147"/>
      <c r="H299" s="147"/>
      <c r="I299" s="147"/>
      <c r="J299" s="147"/>
      <c r="K299" s="140"/>
      <c r="L299" s="140"/>
      <c r="M299" s="140"/>
      <c r="N299" s="140"/>
      <c r="O299" s="141"/>
      <c r="P299" s="140"/>
      <c r="Q299" s="140"/>
      <c r="R299" s="140"/>
      <c r="S299" s="140"/>
      <c r="T299" s="140"/>
      <c r="U299" s="140"/>
      <c r="V299" s="140"/>
      <c r="W299" s="140"/>
      <c r="X299" s="140"/>
      <c r="Y299" s="140"/>
      <c r="Z299" s="140"/>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1:91">
      <c r="A300" s="147"/>
      <c r="B300" s="147"/>
      <c r="C300" s="147"/>
      <c r="D300" s="147"/>
      <c r="E300" s="147"/>
      <c r="F300" s="147"/>
      <c r="G300" s="147"/>
      <c r="H300" s="147"/>
      <c r="I300" s="147"/>
      <c r="J300" s="147"/>
      <c r="K300" s="140"/>
      <c r="L300" s="140"/>
      <c r="M300" s="140"/>
      <c r="N300" s="140"/>
      <c r="O300" s="141"/>
      <c r="P300" s="140"/>
      <c r="Q300" s="140"/>
      <c r="R300" s="140"/>
      <c r="S300" s="140"/>
      <c r="T300" s="140"/>
      <c r="U300" s="140"/>
      <c r="V300" s="140"/>
      <c r="W300" s="140"/>
      <c r="X300" s="140"/>
      <c r="Y300" s="140"/>
      <c r="Z300" s="14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1:91">
      <c r="A301" s="147"/>
      <c r="B301" s="147"/>
      <c r="C301" s="147"/>
      <c r="D301" s="147"/>
      <c r="E301" s="147"/>
      <c r="F301" s="147"/>
      <c r="G301" s="147"/>
      <c r="H301" s="147"/>
      <c r="I301" s="147"/>
      <c r="J301" s="147"/>
      <c r="K301" s="140"/>
      <c r="L301" s="140"/>
      <c r="M301" s="140"/>
      <c r="N301" s="140"/>
      <c r="O301" s="141"/>
      <c r="P301" s="140"/>
      <c r="Q301" s="140"/>
      <c r="R301" s="140"/>
      <c r="S301" s="140"/>
      <c r="T301" s="140"/>
      <c r="U301" s="140"/>
      <c r="V301" s="140"/>
      <c r="W301" s="140"/>
      <c r="X301" s="140"/>
      <c r="Y301" s="140"/>
      <c r="Z301" s="140"/>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1:91">
      <c r="A302" s="147"/>
      <c r="B302" s="147"/>
      <c r="C302" s="147"/>
      <c r="D302" s="147"/>
      <c r="E302" s="147"/>
      <c r="F302" s="147"/>
      <c r="G302" s="147"/>
      <c r="H302" s="147"/>
      <c r="I302" s="147"/>
      <c r="J302" s="147"/>
      <c r="K302" s="140"/>
      <c r="L302" s="140"/>
      <c r="M302" s="140"/>
      <c r="N302" s="140"/>
      <c r="O302" s="141"/>
      <c r="P302" s="140"/>
      <c r="Q302" s="140"/>
      <c r="R302" s="140"/>
      <c r="S302" s="140"/>
      <c r="T302" s="140"/>
      <c r="U302" s="140"/>
      <c r="V302" s="140"/>
      <c r="W302" s="140"/>
      <c r="X302" s="140"/>
      <c r="Y302" s="140"/>
      <c r="Z302" s="140"/>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1:91">
      <c r="A303" s="147"/>
      <c r="B303" s="147"/>
      <c r="C303" s="147"/>
      <c r="D303" s="147"/>
      <c r="E303" s="147"/>
      <c r="F303" s="147"/>
      <c r="G303" s="147"/>
      <c r="H303" s="147"/>
      <c r="I303" s="147"/>
      <c r="J303" s="147"/>
      <c r="K303" s="140"/>
      <c r="L303" s="140"/>
      <c r="M303" s="140"/>
      <c r="N303" s="140"/>
      <c r="O303" s="141"/>
      <c r="P303" s="140"/>
      <c r="Q303" s="140"/>
      <c r="R303" s="140"/>
      <c r="S303" s="140"/>
      <c r="T303" s="140"/>
      <c r="U303" s="140"/>
      <c r="V303" s="140"/>
      <c r="W303" s="140"/>
      <c r="X303" s="140"/>
      <c r="Y303" s="140"/>
      <c r="Z303" s="140"/>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1:91">
      <c r="A304" s="147"/>
      <c r="B304" s="147"/>
      <c r="C304" s="147"/>
      <c r="D304" s="147"/>
      <c r="E304" s="147"/>
      <c r="F304" s="147"/>
      <c r="G304" s="147"/>
      <c r="H304" s="147"/>
      <c r="I304" s="147"/>
      <c r="J304" s="147"/>
      <c r="K304" s="140"/>
      <c r="L304" s="140"/>
      <c r="M304" s="140"/>
      <c r="N304" s="140"/>
      <c r="O304" s="141"/>
      <c r="P304" s="140"/>
      <c r="Q304" s="140"/>
      <c r="R304" s="140"/>
      <c r="S304" s="140"/>
      <c r="T304" s="140"/>
      <c r="U304" s="140"/>
      <c r="V304" s="140"/>
      <c r="W304" s="140"/>
      <c r="X304" s="140"/>
      <c r="Y304" s="140"/>
      <c r="Z304" s="140"/>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1:91">
      <c r="A305" s="147"/>
      <c r="B305" s="147"/>
      <c r="C305" s="147"/>
      <c r="D305" s="147"/>
      <c r="E305" s="147"/>
      <c r="F305" s="147"/>
      <c r="G305" s="147"/>
      <c r="H305" s="147"/>
      <c r="I305" s="147"/>
      <c r="J305" s="147"/>
      <c r="K305" s="140"/>
      <c r="L305" s="140"/>
      <c r="M305" s="140"/>
      <c r="N305" s="140"/>
      <c r="O305" s="141"/>
      <c r="P305" s="140"/>
      <c r="Q305" s="140"/>
      <c r="R305" s="140"/>
      <c r="S305" s="140"/>
      <c r="T305" s="140"/>
      <c r="U305" s="140"/>
      <c r="V305" s="140"/>
      <c r="W305" s="140"/>
      <c r="X305" s="140"/>
      <c r="Y305" s="140"/>
      <c r="Z305" s="140"/>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1:91">
      <c r="A306" s="147"/>
      <c r="B306" s="147"/>
      <c r="C306" s="147"/>
      <c r="D306" s="147"/>
      <c r="E306" s="147"/>
      <c r="F306" s="147"/>
      <c r="G306" s="147"/>
      <c r="H306" s="147"/>
      <c r="I306" s="147"/>
      <c r="J306" s="147"/>
      <c r="K306" s="140"/>
      <c r="L306" s="140"/>
      <c r="M306" s="140"/>
      <c r="N306" s="140"/>
      <c r="O306" s="141"/>
      <c r="P306" s="140"/>
      <c r="Q306" s="140"/>
      <c r="R306" s="140"/>
      <c r="S306" s="140"/>
      <c r="T306" s="140"/>
      <c r="U306" s="140"/>
      <c r="V306" s="140"/>
      <c r="W306" s="140"/>
      <c r="X306" s="140"/>
      <c r="Y306" s="140"/>
      <c r="Z306" s="140"/>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1:91">
      <c r="A307" s="147"/>
      <c r="B307" s="147"/>
      <c r="C307" s="147"/>
      <c r="D307" s="147"/>
      <c r="E307" s="147"/>
      <c r="F307" s="147"/>
      <c r="G307" s="147"/>
      <c r="H307" s="147"/>
      <c r="I307" s="147"/>
      <c r="J307" s="147"/>
      <c r="K307" s="140"/>
      <c r="L307" s="140"/>
      <c r="M307" s="140"/>
      <c r="N307" s="140"/>
      <c r="O307" s="141"/>
      <c r="P307" s="140"/>
      <c r="Q307" s="140"/>
      <c r="R307" s="140"/>
      <c r="S307" s="140"/>
      <c r="T307" s="140"/>
      <c r="U307" s="140"/>
      <c r="V307" s="140"/>
      <c r="W307" s="140"/>
      <c r="X307" s="140"/>
      <c r="Y307" s="140"/>
      <c r="Z307" s="140"/>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1:91">
      <c r="A308" s="147"/>
      <c r="B308" s="147"/>
      <c r="C308" s="147"/>
      <c r="D308" s="147"/>
      <c r="E308" s="147"/>
      <c r="F308" s="147"/>
      <c r="G308" s="147"/>
      <c r="H308" s="147"/>
      <c r="I308" s="147"/>
      <c r="J308" s="147"/>
      <c r="K308" s="140"/>
      <c r="L308" s="140"/>
      <c r="M308" s="140"/>
      <c r="N308" s="140"/>
      <c r="O308" s="141"/>
      <c r="P308" s="140"/>
      <c r="Q308" s="140"/>
      <c r="R308" s="140"/>
      <c r="S308" s="140"/>
      <c r="T308" s="140"/>
      <c r="U308" s="140"/>
      <c r="V308" s="140"/>
      <c r="W308" s="140"/>
      <c r="X308" s="140"/>
      <c r="Y308" s="140"/>
      <c r="Z308" s="140"/>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1:91">
      <c r="A309" s="147"/>
      <c r="B309" s="147"/>
      <c r="C309" s="147"/>
      <c r="D309" s="147"/>
      <c r="E309" s="147"/>
      <c r="F309" s="147"/>
      <c r="G309" s="147"/>
      <c r="H309" s="147"/>
      <c r="I309" s="147"/>
      <c r="J309" s="147"/>
      <c r="K309" s="140"/>
      <c r="L309" s="140"/>
      <c r="M309" s="140"/>
      <c r="N309" s="140"/>
      <c r="O309" s="141"/>
      <c r="P309" s="140"/>
      <c r="Q309" s="140"/>
      <c r="R309" s="140"/>
      <c r="S309" s="140"/>
      <c r="T309" s="140"/>
      <c r="U309" s="140"/>
      <c r="V309" s="140"/>
      <c r="W309" s="140"/>
      <c r="X309" s="140"/>
      <c r="Y309" s="140"/>
      <c r="Z309" s="140"/>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1:91">
      <c r="A310" s="147"/>
      <c r="B310" s="147"/>
      <c r="C310" s="147"/>
      <c r="D310" s="147"/>
      <c r="E310" s="147"/>
      <c r="F310" s="147"/>
      <c r="G310" s="147"/>
      <c r="H310" s="147"/>
      <c r="I310" s="147"/>
      <c r="J310" s="147"/>
      <c r="K310" s="140"/>
      <c r="L310" s="140"/>
      <c r="M310" s="140"/>
      <c r="N310" s="140"/>
      <c r="O310" s="141"/>
      <c r="P310" s="140"/>
      <c r="Q310" s="140"/>
      <c r="R310" s="140"/>
      <c r="S310" s="140"/>
      <c r="T310" s="140"/>
      <c r="U310" s="140"/>
      <c r="V310" s="140"/>
      <c r="W310" s="140"/>
      <c r="X310" s="140"/>
      <c r="Y310" s="140"/>
      <c r="Z310" s="14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1:91">
      <c r="A311" s="147"/>
      <c r="B311" s="147"/>
      <c r="C311" s="147"/>
      <c r="D311" s="147"/>
      <c r="E311" s="147"/>
      <c r="F311" s="147"/>
      <c r="G311" s="147"/>
      <c r="H311" s="147"/>
      <c r="I311" s="147"/>
      <c r="J311" s="147"/>
      <c r="K311" s="140"/>
      <c r="L311" s="140"/>
      <c r="M311" s="140"/>
      <c r="N311" s="140"/>
      <c r="O311" s="141"/>
      <c r="P311" s="140"/>
      <c r="Q311" s="140"/>
      <c r="R311" s="140"/>
      <c r="S311" s="140"/>
      <c r="T311" s="140"/>
      <c r="U311" s="140"/>
      <c r="V311" s="140"/>
      <c r="W311" s="140"/>
      <c r="X311" s="140"/>
      <c r="Y311" s="140"/>
      <c r="Z311" s="140"/>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1:91">
      <c r="A312" s="147"/>
      <c r="B312" s="147"/>
      <c r="C312" s="147"/>
      <c r="D312" s="147"/>
      <c r="E312" s="147"/>
      <c r="F312" s="147"/>
      <c r="G312" s="147"/>
      <c r="H312" s="147"/>
      <c r="I312" s="147"/>
      <c r="J312" s="147"/>
      <c r="K312" s="140"/>
      <c r="L312" s="140"/>
      <c r="M312" s="140"/>
      <c r="N312" s="140"/>
      <c r="O312" s="141"/>
      <c r="P312" s="140"/>
      <c r="Q312" s="140"/>
      <c r="R312" s="140"/>
      <c r="S312" s="140"/>
      <c r="T312" s="140"/>
      <c r="U312" s="140"/>
      <c r="V312" s="140"/>
      <c r="W312" s="140"/>
      <c r="X312" s="140"/>
      <c r="Y312" s="140"/>
      <c r="Z312" s="140"/>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1:91">
      <c r="A313" s="147"/>
      <c r="B313" s="147"/>
      <c r="C313" s="147"/>
      <c r="D313" s="147"/>
      <c r="E313" s="147"/>
      <c r="F313" s="147"/>
      <c r="G313" s="147"/>
      <c r="H313" s="147"/>
      <c r="I313" s="147"/>
      <c r="J313" s="147"/>
      <c r="K313" s="140"/>
      <c r="L313" s="140"/>
      <c r="M313" s="140"/>
      <c r="N313" s="140"/>
      <c r="O313" s="141"/>
      <c r="P313" s="140"/>
      <c r="Q313" s="140"/>
      <c r="R313" s="140"/>
      <c r="S313" s="140"/>
      <c r="T313" s="140"/>
      <c r="U313" s="140"/>
      <c r="V313" s="140"/>
      <c r="W313" s="140"/>
      <c r="X313" s="140"/>
      <c r="Y313" s="140"/>
      <c r="Z313" s="140"/>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1:91">
      <c r="A314" s="147"/>
      <c r="B314" s="147"/>
      <c r="C314" s="147"/>
      <c r="D314" s="147"/>
      <c r="E314" s="147"/>
      <c r="F314" s="147"/>
      <c r="G314" s="147"/>
      <c r="H314" s="147"/>
      <c r="I314" s="147"/>
      <c r="J314" s="147"/>
      <c r="K314" s="140"/>
      <c r="L314" s="140"/>
      <c r="M314" s="140"/>
      <c r="N314" s="140"/>
      <c r="O314" s="141"/>
      <c r="P314" s="140"/>
      <c r="Q314" s="140"/>
      <c r="R314" s="140"/>
      <c r="S314" s="140"/>
      <c r="T314" s="140"/>
      <c r="U314" s="140"/>
      <c r="V314" s="140"/>
      <c r="W314" s="140"/>
      <c r="X314" s="140"/>
      <c r="Y314" s="140"/>
      <c r="Z314" s="140"/>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1:91">
      <c r="A315" s="147"/>
      <c r="B315" s="147"/>
      <c r="C315" s="147"/>
      <c r="D315" s="147"/>
      <c r="E315" s="147"/>
      <c r="F315" s="147"/>
      <c r="G315" s="147"/>
      <c r="H315" s="147"/>
      <c r="I315" s="147"/>
      <c r="J315" s="147"/>
      <c r="K315" s="140"/>
      <c r="L315" s="140"/>
      <c r="M315" s="140"/>
      <c r="N315" s="140"/>
      <c r="O315" s="141"/>
      <c r="P315" s="140"/>
      <c r="Q315" s="140"/>
      <c r="R315" s="140"/>
      <c r="S315" s="140"/>
      <c r="T315" s="140"/>
      <c r="U315" s="140"/>
      <c r="V315" s="140"/>
      <c r="W315" s="140"/>
      <c r="X315" s="140"/>
      <c r="Y315" s="140"/>
      <c r="Z315" s="140"/>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1:91">
      <c r="A316" s="147"/>
      <c r="B316" s="147"/>
      <c r="C316" s="147"/>
      <c r="D316" s="147"/>
      <c r="E316" s="147"/>
      <c r="F316" s="147"/>
      <c r="G316" s="147"/>
      <c r="H316" s="147"/>
      <c r="I316" s="147"/>
      <c r="J316" s="147"/>
      <c r="K316" s="140"/>
      <c r="L316" s="140"/>
      <c r="M316" s="140"/>
      <c r="N316" s="140"/>
      <c r="O316" s="141"/>
      <c r="P316" s="140"/>
      <c r="Q316" s="140"/>
      <c r="R316" s="140"/>
      <c r="S316" s="140"/>
      <c r="T316" s="140"/>
      <c r="U316" s="140"/>
      <c r="V316" s="140"/>
      <c r="W316" s="140"/>
      <c r="X316" s="140"/>
      <c r="Y316" s="140"/>
      <c r="Z316" s="140"/>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1:91">
      <c r="A317" s="147"/>
      <c r="B317" s="147"/>
      <c r="C317" s="147"/>
      <c r="D317" s="147"/>
      <c r="E317" s="147"/>
      <c r="F317" s="147"/>
      <c r="G317" s="147"/>
      <c r="H317" s="147"/>
      <c r="I317" s="147"/>
      <c r="J317" s="147"/>
      <c r="K317" s="140"/>
      <c r="L317" s="140"/>
      <c r="M317" s="140"/>
      <c r="N317" s="140"/>
      <c r="O317" s="141"/>
      <c r="P317" s="140"/>
      <c r="Q317" s="140"/>
      <c r="R317" s="140"/>
      <c r="S317" s="140"/>
      <c r="T317" s="140"/>
      <c r="U317" s="140"/>
      <c r="V317" s="140"/>
      <c r="W317" s="140"/>
      <c r="X317" s="140"/>
      <c r="Y317" s="140"/>
      <c r="Z317" s="140"/>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1:91">
      <c r="A318" s="147"/>
      <c r="B318" s="147"/>
      <c r="C318" s="147"/>
      <c r="D318" s="147"/>
      <c r="E318" s="147"/>
      <c r="F318" s="147"/>
      <c r="G318" s="147"/>
      <c r="H318" s="147"/>
      <c r="I318" s="147"/>
      <c r="J318" s="147"/>
      <c r="K318" s="140"/>
      <c r="L318" s="140"/>
      <c r="M318" s="140"/>
      <c r="N318" s="140"/>
      <c r="O318" s="141"/>
      <c r="P318" s="140"/>
      <c r="Q318" s="140"/>
      <c r="R318" s="140"/>
      <c r="S318" s="140"/>
      <c r="T318" s="140"/>
      <c r="U318" s="140"/>
      <c r="V318" s="140"/>
      <c r="W318" s="140"/>
      <c r="X318" s="140"/>
      <c r="Y318" s="140"/>
      <c r="Z318" s="140"/>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1:91">
      <c r="A319" s="147"/>
      <c r="B319" s="147"/>
      <c r="C319" s="147"/>
      <c r="D319" s="147"/>
      <c r="E319" s="147"/>
      <c r="F319" s="147"/>
      <c r="G319" s="147"/>
      <c r="H319" s="147"/>
      <c r="I319" s="147"/>
      <c r="J319" s="147"/>
      <c r="K319" s="140"/>
      <c r="L319" s="140"/>
      <c r="M319" s="140"/>
      <c r="N319" s="140"/>
      <c r="O319" s="141"/>
      <c r="P319" s="140"/>
      <c r="Q319" s="140"/>
      <c r="R319" s="140"/>
      <c r="S319" s="140"/>
      <c r="T319" s="140"/>
      <c r="U319" s="140"/>
      <c r="V319" s="140"/>
      <c r="W319" s="140"/>
      <c r="X319" s="140"/>
      <c r="Y319" s="140"/>
      <c r="Z319" s="140"/>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1:91">
      <c r="A320" s="147"/>
      <c r="B320" s="147"/>
      <c r="C320" s="147"/>
      <c r="D320" s="147"/>
      <c r="E320" s="147"/>
      <c r="F320" s="147"/>
      <c r="G320" s="147"/>
      <c r="H320" s="147"/>
      <c r="I320" s="147"/>
      <c r="J320" s="147"/>
      <c r="K320" s="140"/>
      <c r="L320" s="140"/>
      <c r="M320" s="140"/>
      <c r="N320" s="140"/>
      <c r="O320" s="141"/>
      <c r="P320" s="140"/>
      <c r="Q320" s="140"/>
      <c r="R320" s="140"/>
      <c r="S320" s="140"/>
      <c r="T320" s="140"/>
      <c r="U320" s="140"/>
      <c r="V320" s="140"/>
      <c r="W320" s="140"/>
      <c r="X320" s="140"/>
      <c r="Y320" s="140"/>
      <c r="Z320" s="14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1:91">
      <c r="A321" s="147"/>
      <c r="B321" s="147"/>
      <c r="C321" s="147"/>
      <c r="D321" s="147"/>
      <c r="E321" s="147"/>
      <c r="F321" s="147"/>
      <c r="G321" s="147"/>
      <c r="H321" s="147"/>
      <c r="I321" s="147"/>
      <c r="J321" s="147"/>
      <c r="K321" s="140"/>
      <c r="L321" s="140"/>
      <c r="M321" s="140"/>
      <c r="N321" s="140"/>
      <c r="O321" s="141"/>
      <c r="P321" s="140"/>
      <c r="Q321" s="140"/>
      <c r="R321" s="140"/>
      <c r="S321" s="140"/>
      <c r="T321" s="140"/>
      <c r="U321" s="140"/>
      <c r="V321" s="140"/>
      <c r="W321" s="140"/>
      <c r="X321" s="140"/>
      <c r="Y321" s="140"/>
      <c r="Z321" s="140"/>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1:91">
      <c r="A322" s="147"/>
      <c r="B322" s="147"/>
      <c r="C322" s="147"/>
      <c r="D322" s="147"/>
      <c r="E322" s="147"/>
      <c r="F322" s="147"/>
      <c r="G322" s="147"/>
      <c r="H322" s="147"/>
      <c r="I322" s="147"/>
      <c r="J322" s="147"/>
      <c r="K322" s="140"/>
      <c r="L322" s="140"/>
      <c r="M322" s="140"/>
      <c r="N322" s="140"/>
      <c r="O322" s="141"/>
      <c r="P322" s="140"/>
      <c r="Q322" s="140"/>
      <c r="R322" s="140"/>
      <c r="S322" s="140"/>
      <c r="T322" s="140"/>
      <c r="U322" s="140"/>
      <c r="V322" s="140"/>
      <c r="W322" s="140"/>
      <c r="X322" s="140"/>
      <c r="Y322" s="140"/>
      <c r="Z322" s="140"/>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1:91">
      <c r="A323" s="147"/>
      <c r="B323" s="147"/>
      <c r="C323" s="147"/>
      <c r="D323" s="147"/>
      <c r="E323" s="147"/>
      <c r="F323" s="147"/>
      <c r="G323" s="147"/>
      <c r="H323" s="147"/>
      <c r="I323" s="147"/>
      <c r="J323" s="147"/>
      <c r="K323" s="140"/>
      <c r="L323" s="140"/>
      <c r="M323" s="140"/>
      <c r="N323" s="140"/>
      <c r="O323" s="141"/>
      <c r="P323" s="140"/>
      <c r="Q323" s="140"/>
      <c r="R323" s="140"/>
      <c r="S323" s="140"/>
      <c r="T323" s="140"/>
      <c r="U323" s="140"/>
      <c r="V323" s="140"/>
      <c r="W323" s="140"/>
      <c r="X323" s="140"/>
      <c r="Y323" s="140"/>
      <c r="Z323" s="140"/>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1:91">
      <c r="A324" s="147"/>
      <c r="B324" s="147"/>
      <c r="C324" s="147"/>
      <c r="D324" s="147"/>
      <c r="E324" s="147"/>
      <c r="F324" s="147"/>
      <c r="G324" s="147"/>
      <c r="H324" s="147"/>
      <c r="I324" s="147"/>
      <c r="J324" s="147"/>
      <c r="K324" s="140"/>
      <c r="L324" s="140"/>
      <c r="M324" s="140"/>
      <c r="N324" s="140"/>
      <c r="O324" s="141"/>
      <c r="P324" s="140"/>
      <c r="Q324" s="140"/>
      <c r="R324" s="140"/>
      <c r="S324" s="140"/>
      <c r="T324" s="140"/>
      <c r="U324" s="140"/>
      <c r="V324" s="140"/>
      <c r="W324" s="140"/>
      <c r="X324" s="140"/>
      <c r="Y324" s="140"/>
      <c r="Z324" s="140"/>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1:91">
      <c r="A325" s="147"/>
      <c r="B325" s="147"/>
      <c r="C325" s="147"/>
      <c r="D325" s="147"/>
      <c r="E325" s="147"/>
      <c r="F325" s="147"/>
      <c r="G325" s="147"/>
      <c r="H325" s="147"/>
      <c r="I325" s="147"/>
      <c r="J325" s="147"/>
      <c r="K325" s="140"/>
      <c r="L325" s="140"/>
      <c r="M325" s="140"/>
      <c r="N325" s="140"/>
      <c r="O325" s="141"/>
      <c r="P325" s="140"/>
      <c r="Q325" s="140"/>
      <c r="R325" s="140"/>
      <c r="S325" s="140"/>
      <c r="T325" s="140"/>
      <c r="U325" s="140"/>
      <c r="V325" s="140"/>
      <c r="W325" s="140"/>
      <c r="X325" s="140"/>
      <c r="Y325" s="140"/>
      <c r="Z325" s="140"/>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1:91">
      <c r="A326" s="147"/>
      <c r="B326" s="147"/>
      <c r="C326" s="147"/>
      <c r="D326" s="147"/>
      <c r="E326" s="147"/>
      <c r="F326" s="147"/>
      <c r="G326" s="147"/>
      <c r="H326" s="147"/>
      <c r="I326" s="147"/>
      <c r="J326" s="147"/>
      <c r="K326" s="140"/>
      <c r="L326" s="140"/>
      <c r="M326" s="140"/>
      <c r="N326" s="140"/>
      <c r="O326" s="141"/>
      <c r="P326" s="140"/>
      <c r="Q326" s="140"/>
      <c r="R326" s="140"/>
      <c r="S326" s="140"/>
      <c r="T326" s="140"/>
      <c r="U326" s="140"/>
      <c r="V326" s="140"/>
      <c r="W326" s="140"/>
      <c r="X326" s="140"/>
      <c r="Y326" s="140"/>
      <c r="Z326" s="140"/>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1:91">
      <c r="A327" s="147"/>
      <c r="B327" s="147"/>
      <c r="C327" s="147"/>
      <c r="D327" s="147"/>
      <c r="E327" s="147"/>
      <c r="F327" s="147"/>
      <c r="G327" s="147"/>
      <c r="H327" s="147"/>
      <c r="I327" s="147"/>
      <c r="J327" s="147"/>
      <c r="K327" s="140"/>
      <c r="L327" s="140"/>
      <c r="M327" s="140"/>
      <c r="N327" s="140"/>
      <c r="O327" s="141"/>
      <c r="P327" s="140"/>
      <c r="Q327" s="140"/>
      <c r="R327" s="140"/>
      <c r="S327" s="140"/>
      <c r="T327" s="140"/>
      <c r="U327" s="140"/>
      <c r="V327" s="140"/>
      <c r="W327" s="140"/>
      <c r="X327" s="140"/>
      <c r="Y327" s="140"/>
      <c r="Z327" s="140"/>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1:91">
      <c r="A328" s="147"/>
      <c r="B328" s="147"/>
      <c r="C328" s="147"/>
      <c r="D328" s="147"/>
      <c r="E328" s="147"/>
      <c r="F328" s="147"/>
      <c r="G328" s="147"/>
      <c r="H328" s="147"/>
      <c r="I328" s="147"/>
      <c r="J328" s="147"/>
      <c r="K328" s="140"/>
      <c r="L328" s="140"/>
      <c r="M328" s="140"/>
      <c r="N328" s="140"/>
      <c r="O328" s="141"/>
      <c r="P328" s="140"/>
      <c r="Q328" s="140"/>
      <c r="R328" s="140"/>
      <c r="S328" s="140"/>
      <c r="T328" s="140"/>
      <c r="U328" s="140"/>
      <c r="V328" s="140"/>
      <c r="W328" s="140"/>
      <c r="X328" s="140"/>
      <c r="Y328" s="140"/>
      <c r="Z328" s="140"/>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1:91">
      <c r="A329" s="147"/>
      <c r="B329" s="147"/>
      <c r="C329" s="147"/>
      <c r="D329" s="147"/>
      <c r="E329" s="147"/>
      <c r="F329" s="147"/>
      <c r="G329" s="147"/>
      <c r="H329" s="147"/>
      <c r="I329" s="147"/>
      <c r="J329" s="147"/>
      <c r="K329" s="140"/>
      <c r="L329" s="140"/>
      <c r="M329" s="140"/>
      <c r="N329" s="140"/>
      <c r="O329" s="141"/>
      <c r="P329" s="140"/>
      <c r="Q329" s="140"/>
      <c r="R329" s="140"/>
      <c r="S329" s="140"/>
      <c r="T329" s="140"/>
      <c r="U329" s="140"/>
      <c r="V329" s="140"/>
      <c r="W329" s="140"/>
      <c r="X329" s="140"/>
      <c r="Y329" s="140"/>
      <c r="Z329" s="140"/>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1:91">
      <c r="A330" s="147"/>
      <c r="B330" s="147"/>
      <c r="C330" s="147"/>
      <c r="D330" s="147"/>
      <c r="E330" s="147"/>
      <c r="F330" s="147"/>
      <c r="G330" s="147"/>
      <c r="H330" s="147"/>
      <c r="I330" s="147"/>
      <c r="J330" s="147"/>
      <c r="K330" s="140"/>
      <c r="L330" s="140"/>
      <c r="M330" s="140"/>
      <c r="N330" s="140"/>
      <c r="O330" s="141"/>
      <c r="P330" s="140"/>
      <c r="Q330" s="140"/>
      <c r="R330" s="140"/>
      <c r="S330" s="140"/>
      <c r="T330" s="140"/>
      <c r="U330" s="140"/>
      <c r="V330" s="140"/>
      <c r="W330" s="140"/>
      <c r="X330" s="140"/>
      <c r="Y330" s="140"/>
      <c r="Z330" s="14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1:91">
      <c r="A331" s="147"/>
      <c r="B331" s="147"/>
      <c r="C331" s="147"/>
      <c r="D331" s="147"/>
      <c r="E331" s="147"/>
      <c r="F331" s="147"/>
      <c r="G331" s="147"/>
      <c r="H331" s="147"/>
      <c r="I331" s="147"/>
      <c r="J331" s="147"/>
      <c r="K331" s="140"/>
      <c r="L331" s="140"/>
      <c r="M331" s="140"/>
      <c r="N331" s="140"/>
      <c r="O331" s="141"/>
      <c r="P331" s="140"/>
      <c r="Q331" s="140"/>
      <c r="R331" s="140"/>
      <c r="S331" s="140"/>
      <c r="T331" s="140"/>
      <c r="U331" s="140"/>
      <c r="V331" s="140"/>
      <c r="W331" s="140"/>
      <c r="X331" s="140"/>
      <c r="Y331" s="140"/>
      <c r="Z331" s="140"/>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1:91">
      <c r="A332" s="147"/>
      <c r="B332" s="147"/>
      <c r="C332" s="147"/>
      <c r="D332" s="147"/>
      <c r="E332" s="147"/>
      <c r="F332" s="147"/>
      <c r="G332" s="147"/>
      <c r="H332" s="147"/>
      <c r="I332" s="147"/>
      <c r="J332" s="147"/>
      <c r="K332" s="140"/>
      <c r="L332" s="140"/>
      <c r="M332" s="140"/>
      <c r="N332" s="140"/>
      <c r="O332" s="141"/>
      <c r="P332" s="140"/>
      <c r="Q332" s="140"/>
      <c r="R332" s="140"/>
      <c r="S332" s="140"/>
      <c r="T332" s="140"/>
      <c r="U332" s="140"/>
      <c r="V332" s="140"/>
      <c r="W332" s="140"/>
      <c r="X332" s="140"/>
      <c r="Y332" s="140"/>
      <c r="Z332" s="140"/>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1:91">
      <c r="A333" s="147"/>
      <c r="B333" s="147"/>
      <c r="C333" s="147"/>
      <c r="D333" s="147"/>
      <c r="E333" s="147"/>
      <c r="F333" s="147"/>
      <c r="G333" s="147"/>
      <c r="H333" s="147"/>
      <c r="I333" s="147"/>
      <c r="J333" s="147"/>
      <c r="K333" s="140"/>
      <c r="L333" s="140"/>
      <c r="M333" s="140"/>
      <c r="N333" s="140"/>
      <c r="O333" s="141"/>
      <c r="P333" s="140"/>
      <c r="Q333" s="140"/>
      <c r="R333" s="140"/>
      <c r="S333" s="140"/>
      <c r="T333" s="140"/>
      <c r="U333" s="140"/>
      <c r="V333" s="140"/>
      <c r="W333" s="140"/>
      <c r="X333" s="140"/>
      <c r="Y333" s="140"/>
      <c r="Z333" s="140"/>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1:91">
      <c r="A334" s="147"/>
      <c r="B334" s="147"/>
      <c r="C334" s="147"/>
      <c r="D334" s="147"/>
      <c r="E334" s="147"/>
      <c r="F334" s="147"/>
      <c r="G334" s="147"/>
      <c r="H334" s="147"/>
      <c r="I334" s="147"/>
      <c r="J334" s="147"/>
      <c r="K334" s="140"/>
      <c r="L334" s="140"/>
      <c r="M334" s="140"/>
      <c r="N334" s="140"/>
      <c r="O334" s="141"/>
      <c r="P334" s="140"/>
      <c r="Q334" s="140"/>
      <c r="R334" s="140"/>
      <c r="S334" s="140"/>
      <c r="T334" s="140"/>
      <c r="U334" s="140"/>
      <c r="V334" s="140"/>
      <c r="W334" s="140"/>
      <c r="X334" s="140"/>
      <c r="Y334" s="140"/>
      <c r="Z334" s="140"/>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1:91">
      <c r="A335" s="147"/>
      <c r="B335" s="147"/>
      <c r="C335" s="147"/>
      <c r="D335" s="147"/>
      <c r="E335" s="147"/>
      <c r="F335" s="147"/>
      <c r="G335" s="147"/>
      <c r="H335" s="147"/>
      <c r="I335" s="147"/>
      <c r="J335" s="147"/>
      <c r="K335" s="140"/>
      <c r="L335" s="140"/>
      <c r="M335" s="140"/>
      <c r="N335" s="140"/>
      <c r="O335" s="141"/>
      <c r="P335" s="140"/>
      <c r="Q335" s="140"/>
      <c r="R335" s="140"/>
      <c r="S335" s="140"/>
      <c r="T335" s="140"/>
      <c r="U335" s="140"/>
      <c r="V335" s="140"/>
      <c r="W335" s="140"/>
      <c r="X335" s="140"/>
      <c r="Y335" s="140"/>
      <c r="Z335" s="140"/>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1:91">
      <c r="A336" s="147"/>
      <c r="B336" s="147"/>
      <c r="C336" s="147"/>
      <c r="D336" s="147"/>
      <c r="E336" s="147"/>
      <c r="F336" s="147"/>
      <c r="G336" s="147"/>
      <c r="H336" s="147"/>
      <c r="I336" s="147"/>
      <c r="J336" s="147"/>
      <c r="K336" s="140"/>
      <c r="L336" s="140"/>
      <c r="M336" s="140"/>
      <c r="N336" s="140"/>
      <c r="O336" s="141"/>
      <c r="P336" s="140"/>
      <c r="Q336" s="140"/>
      <c r="R336" s="140"/>
      <c r="S336" s="140"/>
      <c r="T336" s="140"/>
      <c r="U336" s="140"/>
      <c r="V336" s="140"/>
      <c r="W336" s="140"/>
      <c r="X336" s="140"/>
      <c r="Y336" s="140"/>
      <c r="Z336" s="140"/>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1:91">
      <c r="A337" s="147"/>
      <c r="B337" s="147"/>
      <c r="C337" s="147"/>
      <c r="D337" s="147"/>
      <c r="E337" s="147"/>
      <c r="F337" s="147"/>
      <c r="G337" s="147"/>
      <c r="H337" s="147"/>
      <c r="I337" s="147"/>
      <c r="J337" s="147"/>
      <c r="K337" s="140"/>
      <c r="L337" s="140"/>
      <c r="M337" s="140"/>
      <c r="N337" s="140"/>
      <c r="O337" s="141"/>
      <c r="P337" s="140"/>
      <c r="Q337" s="140"/>
      <c r="R337" s="140"/>
      <c r="S337" s="140"/>
      <c r="T337" s="140"/>
      <c r="U337" s="140"/>
      <c r="V337" s="140"/>
      <c r="W337" s="140"/>
      <c r="X337" s="140"/>
      <c r="Y337" s="140"/>
      <c r="Z337" s="140"/>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1:91">
      <c r="A338" s="147"/>
      <c r="B338" s="147"/>
      <c r="C338" s="147"/>
      <c r="D338" s="147"/>
      <c r="E338" s="147"/>
      <c r="F338" s="147"/>
      <c r="G338" s="147"/>
      <c r="H338" s="147"/>
      <c r="I338" s="147"/>
      <c r="J338" s="147"/>
      <c r="K338" s="140"/>
      <c r="L338" s="140"/>
      <c r="M338" s="140"/>
      <c r="N338" s="140"/>
      <c r="O338" s="141"/>
      <c r="P338" s="140"/>
      <c r="Q338" s="140"/>
      <c r="R338" s="140"/>
      <c r="S338" s="140"/>
      <c r="T338" s="140"/>
      <c r="U338" s="140"/>
      <c r="V338" s="140"/>
      <c r="W338" s="140"/>
      <c r="X338" s="140"/>
      <c r="Y338" s="140"/>
      <c r="Z338" s="140"/>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1:91">
      <c r="A339" s="147"/>
      <c r="B339" s="147"/>
      <c r="C339" s="147"/>
      <c r="D339" s="147"/>
      <c r="E339" s="147"/>
      <c r="F339" s="147"/>
      <c r="G339" s="147"/>
      <c r="H339" s="147"/>
      <c r="I339" s="147"/>
      <c r="J339" s="147"/>
      <c r="K339" s="140"/>
      <c r="L339" s="140"/>
      <c r="M339" s="140"/>
      <c r="N339" s="140"/>
      <c r="O339" s="141"/>
      <c r="P339" s="140"/>
      <c r="Q339" s="140"/>
      <c r="R339" s="140"/>
      <c r="S339" s="140"/>
      <c r="T339" s="140"/>
      <c r="U339" s="140"/>
      <c r="V339" s="140"/>
      <c r="W339" s="140"/>
      <c r="X339" s="140"/>
      <c r="Y339" s="140"/>
      <c r="Z339" s="140"/>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1:91">
      <c r="A340" s="147"/>
      <c r="B340" s="147"/>
      <c r="C340" s="147"/>
      <c r="D340" s="147"/>
      <c r="E340" s="147"/>
      <c r="F340" s="147"/>
      <c r="G340" s="147"/>
      <c r="H340" s="147"/>
      <c r="I340" s="147"/>
      <c r="J340" s="147"/>
      <c r="K340" s="140"/>
      <c r="L340" s="140"/>
      <c r="M340" s="140"/>
      <c r="N340" s="140"/>
      <c r="O340" s="141"/>
      <c r="P340" s="140"/>
      <c r="Q340" s="140"/>
      <c r="R340" s="140"/>
      <c r="S340" s="140"/>
      <c r="T340" s="140"/>
      <c r="U340" s="140"/>
      <c r="V340" s="140"/>
      <c r="W340" s="140"/>
      <c r="X340" s="140"/>
      <c r="Y340" s="140"/>
      <c r="Z340" s="1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1:91">
      <c r="A341" s="147"/>
      <c r="B341" s="147"/>
      <c r="C341" s="147"/>
      <c r="D341" s="147"/>
      <c r="E341" s="147"/>
      <c r="F341" s="147"/>
      <c r="G341" s="147"/>
      <c r="H341" s="147"/>
      <c r="I341" s="147"/>
      <c r="J341" s="147"/>
      <c r="K341" s="140"/>
      <c r="L341" s="140"/>
      <c r="M341" s="140"/>
      <c r="N341" s="140"/>
      <c r="O341" s="141"/>
      <c r="P341" s="140"/>
      <c r="Q341" s="140"/>
      <c r="R341" s="140"/>
      <c r="S341" s="140"/>
      <c r="T341" s="140"/>
      <c r="U341" s="140"/>
      <c r="V341" s="140"/>
      <c r="W341" s="140"/>
      <c r="X341" s="140"/>
      <c r="Y341" s="140"/>
      <c r="Z341" s="140"/>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1:91">
      <c r="A342" s="147"/>
      <c r="B342" s="147"/>
      <c r="C342" s="147"/>
      <c r="D342" s="147"/>
      <c r="E342" s="147"/>
      <c r="F342" s="147"/>
      <c r="G342" s="147"/>
      <c r="H342" s="147"/>
      <c r="I342" s="147"/>
      <c r="J342" s="147"/>
      <c r="K342" s="140"/>
      <c r="L342" s="140"/>
      <c r="M342" s="140"/>
      <c r="N342" s="140"/>
      <c r="O342" s="141"/>
      <c r="P342" s="140"/>
      <c r="Q342" s="140"/>
      <c r="R342" s="140"/>
      <c r="S342" s="140"/>
      <c r="T342" s="140"/>
      <c r="U342" s="140"/>
      <c r="V342" s="140"/>
      <c r="W342" s="140"/>
      <c r="X342" s="140"/>
      <c r="Y342" s="140"/>
      <c r="Z342" s="140"/>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1:91">
      <c r="A343" s="147"/>
      <c r="B343" s="147"/>
      <c r="C343" s="147"/>
      <c r="D343" s="147"/>
      <c r="E343" s="147"/>
      <c r="F343" s="147"/>
      <c r="G343" s="147"/>
      <c r="H343" s="147"/>
      <c r="I343" s="147"/>
      <c r="J343" s="147"/>
      <c r="K343" s="140"/>
      <c r="L343" s="140"/>
      <c r="M343" s="140"/>
      <c r="N343" s="140"/>
      <c r="O343" s="141"/>
      <c r="P343" s="140"/>
      <c r="Q343" s="140"/>
      <c r="R343" s="140"/>
      <c r="S343" s="140"/>
      <c r="T343" s="140"/>
      <c r="U343" s="140"/>
      <c r="V343" s="140"/>
      <c r="W343" s="140"/>
      <c r="X343" s="140"/>
      <c r="Y343" s="140"/>
      <c r="Z343" s="140"/>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1:91">
      <c r="A344" s="147"/>
      <c r="B344" s="147"/>
      <c r="C344" s="147"/>
      <c r="D344" s="147"/>
      <c r="E344" s="147"/>
      <c r="F344" s="147"/>
      <c r="G344" s="147"/>
      <c r="H344" s="147"/>
      <c r="I344" s="147"/>
      <c r="J344" s="147"/>
      <c r="K344" s="140"/>
      <c r="L344" s="140"/>
      <c r="M344" s="140"/>
      <c r="N344" s="140"/>
      <c r="O344" s="141"/>
      <c r="P344" s="140"/>
      <c r="Q344" s="140"/>
      <c r="R344" s="140"/>
      <c r="S344" s="140"/>
      <c r="T344" s="140"/>
      <c r="U344" s="140"/>
      <c r="V344" s="140"/>
      <c r="W344" s="140"/>
      <c r="X344" s="140"/>
      <c r="Y344" s="140"/>
      <c r="Z344" s="140"/>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1:91">
      <c r="A345" s="147"/>
      <c r="B345" s="147"/>
      <c r="C345" s="147"/>
      <c r="D345" s="147"/>
      <c r="E345" s="147"/>
      <c r="F345" s="147"/>
      <c r="G345" s="147"/>
      <c r="H345" s="147"/>
      <c r="I345" s="147"/>
      <c r="J345" s="147"/>
      <c r="K345" s="140"/>
      <c r="L345" s="140"/>
      <c r="M345" s="140"/>
      <c r="N345" s="140"/>
      <c r="O345" s="141"/>
      <c r="P345" s="140"/>
      <c r="Q345" s="140"/>
      <c r="R345" s="140"/>
      <c r="S345" s="140"/>
      <c r="T345" s="140"/>
      <c r="U345" s="140"/>
      <c r="V345" s="140"/>
      <c r="W345" s="140"/>
      <c r="X345" s="140"/>
      <c r="Y345" s="140"/>
      <c r="Z345" s="140"/>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1:91">
      <c r="A346" s="147"/>
      <c r="B346" s="147"/>
      <c r="C346" s="147"/>
      <c r="D346" s="147"/>
      <c r="E346" s="147"/>
      <c r="F346" s="147"/>
      <c r="G346" s="147"/>
      <c r="H346" s="147"/>
      <c r="I346" s="147"/>
      <c r="J346" s="147"/>
      <c r="K346" s="140"/>
      <c r="L346" s="140"/>
      <c r="M346" s="140"/>
      <c r="N346" s="140"/>
      <c r="O346" s="141"/>
      <c r="P346" s="140"/>
      <c r="Q346" s="140"/>
      <c r="R346" s="140"/>
      <c r="S346" s="140"/>
      <c r="T346" s="140"/>
      <c r="U346" s="140"/>
      <c r="V346" s="140"/>
      <c r="W346" s="140"/>
      <c r="X346" s="140"/>
      <c r="Y346" s="140"/>
      <c r="Z346" s="140"/>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1:91">
      <c r="A347" s="147"/>
      <c r="B347" s="147"/>
      <c r="C347" s="147"/>
      <c r="D347" s="147"/>
      <c r="E347" s="147"/>
      <c r="F347" s="147"/>
      <c r="G347" s="147"/>
      <c r="H347" s="147"/>
      <c r="I347" s="147"/>
      <c r="J347" s="147"/>
      <c r="K347" s="140"/>
      <c r="L347" s="140"/>
      <c r="M347" s="140"/>
      <c r="N347" s="140"/>
      <c r="O347" s="141"/>
      <c r="P347" s="140"/>
      <c r="Q347" s="140"/>
      <c r="R347" s="140"/>
      <c r="S347" s="140"/>
      <c r="T347" s="140"/>
      <c r="U347" s="140"/>
      <c r="V347" s="140"/>
      <c r="W347" s="140"/>
      <c r="X347" s="140"/>
      <c r="Y347" s="140"/>
      <c r="Z347" s="140"/>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1:91">
      <c r="A348" s="147"/>
      <c r="B348" s="147"/>
      <c r="C348" s="147"/>
      <c r="D348" s="147"/>
      <c r="E348" s="147"/>
      <c r="F348" s="147"/>
      <c r="G348" s="147"/>
      <c r="H348" s="147"/>
      <c r="I348" s="147"/>
      <c r="J348" s="147"/>
      <c r="K348" s="140"/>
      <c r="L348" s="140"/>
      <c r="M348" s="140"/>
      <c r="N348" s="140"/>
      <c r="O348" s="141"/>
      <c r="P348" s="140"/>
      <c r="Q348" s="140"/>
      <c r="R348" s="140"/>
      <c r="S348" s="140"/>
      <c r="T348" s="140"/>
      <c r="U348" s="140"/>
      <c r="V348" s="140"/>
      <c r="W348" s="140"/>
      <c r="X348" s="140"/>
      <c r="Y348" s="140"/>
      <c r="Z348" s="140"/>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1:91">
      <c r="A349" s="147"/>
      <c r="B349" s="147"/>
      <c r="C349" s="147"/>
      <c r="D349" s="147"/>
      <c r="E349" s="147"/>
      <c r="F349" s="147"/>
      <c r="G349" s="147"/>
      <c r="H349" s="147"/>
      <c r="I349" s="147"/>
      <c r="J349" s="147"/>
      <c r="K349" s="140"/>
      <c r="L349" s="140"/>
      <c r="M349" s="140"/>
      <c r="N349" s="140"/>
      <c r="O349" s="141"/>
      <c r="P349" s="140"/>
      <c r="Q349" s="140"/>
      <c r="R349" s="140"/>
      <c r="S349" s="140"/>
      <c r="T349" s="140"/>
      <c r="U349" s="140"/>
      <c r="V349" s="140"/>
      <c r="W349" s="140"/>
      <c r="X349" s="140"/>
      <c r="Y349" s="140"/>
      <c r="Z349" s="140"/>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1:91">
      <c r="A350" s="147"/>
      <c r="B350" s="147"/>
      <c r="C350" s="147"/>
      <c r="D350" s="147"/>
      <c r="E350" s="147"/>
      <c r="F350" s="147"/>
      <c r="G350" s="147"/>
      <c r="H350" s="147"/>
      <c r="I350" s="147"/>
      <c r="J350" s="147"/>
      <c r="K350" s="140"/>
      <c r="L350" s="140"/>
      <c r="M350" s="140"/>
      <c r="N350" s="140"/>
      <c r="O350" s="141"/>
      <c r="P350" s="140"/>
      <c r="Q350" s="140"/>
      <c r="R350" s="140"/>
      <c r="S350" s="140"/>
      <c r="T350" s="140"/>
      <c r="U350" s="140"/>
      <c r="V350" s="140"/>
      <c r="W350" s="140"/>
      <c r="X350" s="140"/>
      <c r="Y350" s="140"/>
      <c r="Z350" s="14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1:91">
      <c r="A351" s="147"/>
      <c r="B351" s="147"/>
      <c r="C351" s="147"/>
      <c r="D351" s="147"/>
      <c r="E351" s="147"/>
      <c r="F351" s="147"/>
      <c r="G351" s="147"/>
      <c r="H351" s="147"/>
      <c r="I351" s="147"/>
      <c r="J351" s="147"/>
      <c r="K351" s="140"/>
      <c r="L351" s="140"/>
      <c r="M351" s="140"/>
      <c r="N351" s="140"/>
      <c r="O351" s="141"/>
      <c r="P351" s="140"/>
      <c r="Q351" s="140"/>
      <c r="R351" s="140"/>
      <c r="S351" s="140"/>
      <c r="T351" s="140"/>
      <c r="U351" s="140"/>
      <c r="V351" s="140"/>
      <c r="W351" s="140"/>
      <c r="X351" s="140"/>
      <c r="Y351" s="140"/>
      <c r="Z351" s="140"/>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1:91">
      <c r="A352" s="147"/>
      <c r="B352" s="147"/>
      <c r="C352" s="147"/>
      <c r="D352" s="147"/>
      <c r="E352" s="147"/>
      <c r="F352" s="147"/>
      <c r="G352" s="147"/>
      <c r="H352" s="147"/>
      <c r="I352" s="147"/>
      <c r="J352" s="147"/>
      <c r="K352" s="140"/>
      <c r="L352" s="140"/>
      <c r="M352" s="140"/>
      <c r="N352" s="140"/>
      <c r="O352" s="141"/>
      <c r="P352" s="140"/>
      <c r="Q352" s="140"/>
      <c r="R352" s="140"/>
      <c r="S352" s="140"/>
      <c r="T352" s="140"/>
      <c r="U352" s="140"/>
      <c r="V352" s="140"/>
      <c r="W352" s="140"/>
      <c r="X352" s="140"/>
      <c r="Y352" s="140"/>
      <c r="Z352" s="140"/>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1:91">
      <c r="A353" s="147"/>
      <c r="B353" s="147"/>
      <c r="C353" s="147"/>
      <c r="D353" s="147"/>
      <c r="E353" s="147"/>
      <c r="F353" s="147"/>
      <c r="G353" s="147"/>
      <c r="H353" s="147"/>
      <c r="I353" s="147"/>
      <c r="J353" s="147"/>
      <c r="K353" s="140"/>
      <c r="L353" s="140"/>
      <c r="M353" s="140"/>
      <c r="N353" s="140"/>
      <c r="O353" s="141"/>
      <c r="P353" s="140"/>
      <c r="Q353" s="140"/>
      <c r="R353" s="140"/>
      <c r="S353" s="140"/>
      <c r="T353" s="140"/>
      <c r="U353" s="140"/>
      <c r="V353" s="140"/>
      <c r="W353" s="140"/>
      <c r="X353" s="140"/>
      <c r="Y353" s="140"/>
      <c r="Z353" s="140"/>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1:91">
      <c r="A354" s="147"/>
      <c r="B354" s="147"/>
      <c r="C354" s="147"/>
      <c r="D354" s="147"/>
      <c r="E354" s="147"/>
      <c r="F354" s="147"/>
      <c r="G354" s="147"/>
      <c r="H354" s="147"/>
      <c r="I354" s="147"/>
      <c r="J354" s="147"/>
      <c r="K354" s="140"/>
      <c r="L354" s="140"/>
      <c r="M354" s="140"/>
      <c r="N354" s="140"/>
      <c r="O354" s="141"/>
      <c r="P354" s="140"/>
      <c r="Q354" s="140"/>
      <c r="R354" s="140"/>
      <c r="S354" s="140"/>
      <c r="T354" s="140"/>
      <c r="U354" s="140"/>
      <c r="V354" s="140"/>
      <c r="W354" s="140"/>
      <c r="X354" s="140"/>
      <c r="Y354" s="140"/>
      <c r="Z354" s="140"/>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1:91">
      <c r="A355" s="147"/>
      <c r="B355" s="147"/>
      <c r="C355" s="147"/>
      <c r="D355" s="147"/>
      <c r="E355" s="147"/>
      <c r="F355" s="147"/>
      <c r="G355" s="147"/>
      <c r="H355" s="147"/>
      <c r="I355" s="147"/>
      <c r="J355" s="147"/>
      <c r="K355" s="140"/>
      <c r="L355" s="140"/>
      <c r="M355" s="140"/>
      <c r="N355" s="140"/>
      <c r="O355" s="141"/>
      <c r="P355" s="140"/>
      <c r="Q355" s="140"/>
      <c r="R355" s="140"/>
      <c r="S355" s="140"/>
      <c r="T355" s="140"/>
      <c r="U355" s="140"/>
      <c r="V355" s="140"/>
      <c r="W355" s="140"/>
      <c r="X355" s="140"/>
      <c r="Y355" s="140"/>
      <c r="Z355" s="140"/>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1:91">
      <c r="A356" s="147"/>
      <c r="B356" s="147"/>
      <c r="C356" s="147"/>
      <c r="D356" s="147"/>
      <c r="E356" s="147"/>
      <c r="F356" s="147"/>
      <c r="G356" s="147"/>
      <c r="H356" s="147"/>
      <c r="I356" s="147"/>
      <c r="J356" s="147"/>
      <c r="K356" s="140"/>
      <c r="L356" s="140"/>
      <c r="M356" s="140"/>
      <c r="N356" s="140"/>
      <c r="O356" s="141"/>
      <c r="P356" s="140"/>
      <c r="Q356" s="140"/>
      <c r="R356" s="140"/>
      <c r="S356" s="140"/>
      <c r="T356" s="140"/>
      <c r="U356" s="140"/>
      <c r="V356" s="140"/>
      <c r="W356" s="140"/>
      <c r="X356" s="140"/>
      <c r="Y356" s="140"/>
      <c r="Z356" s="140"/>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1:91">
      <c r="A357" s="147"/>
      <c r="B357" s="147"/>
      <c r="C357" s="147"/>
      <c r="D357" s="147"/>
      <c r="E357" s="147"/>
      <c r="F357" s="147"/>
      <c r="G357" s="147"/>
      <c r="H357" s="147"/>
      <c r="I357" s="147"/>
      <c r="J357" s="147"/>
      <c r="K357" s="140"/>
      <c r="L357" s="140"/>
      <c r="M357" s="140"/>
      <c r="N357" s="140"/>
      <c r="O357" s="141"/>
      <c r="P357" s="140"/>
      <c r="Q357" s="140"/>
      <c r="R357" s="140"/>
      <c r="S357" s="140"/>
      <c r="T357" s="140"/>
      <c r="U357" s="140"/>
      <c r="V357" s="140"/>
      <c r="W357" s="140"/>
      <c r="X357" s="140"/>
      <c r="Y357" s="140"/>
      <c r="Z357" s="140"/>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1:91">
      <c r="A358" s="147"/>
      <c r="B358" s="147"/>
      <c r="C358" s="147"/>
      <c r="D358" s="147"/>
      <c r="E358" s="147"/>
      <c r="F358" s="147"/>
      <c r="G358" s="147"/>
      <c r="H358" s="147"/>
      <c r="I358" s="147"/>
      <c r="J358" s="147"/>
      <c r="K358" s="140"/>
      <c r="L358" s="140"/>
      <c r="M358" s="140"/>
      <c r="N358" s="140"/>
      <c r="O358" s="141"/>
      <c r="P358" s="140"/>
      <c r="Q358" s="140"/>
      <c r="R358" s="140"/>
      <c r="S358" s="140"/>
      <c r="T358" s="140"/>
      <c r="U358" s="140"/>
      <c r="V358" s="140"/>
      <c r="W358" s="140"/>
      <c r="X358" s="140"/>
      <c r="Y358" s="140"/>
      <c r="Z358" s="140"/>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1:91">
      <c r="A359" s="147"/>
      <c r="B359" s="147"/>
      <c r="C359" s="147"/>
      <c r="D359" s="147"/>
      <c r="E359" s="147"/>
      <c r="F359" s="147"/>
      <c r="G359" s="147"/>
      <c r="H359" s="147"/>
      <c r="I359" s="147"/>
      <c r="J359" s="147"/>
      <c r="K359" s="140"/>
      <c r="L359" s="140"/>
      <c r="M359" s="140"/>
      <c r="N359" s="140"/>
      <c r="O359" s="141"/>
      <c r="P359" s="140"/>
      <c r="Q359" s="140"/>
      <c r="R359" s="140"/>
      <c r="S359" s="140"/>
      <c r="T359" s="140"/>
      <c r="U359" s="140"/>
      <c r="V359" s="140"/>
      <c r="W359" s="140"/>
      <c r="X359" s="140"/>
      <c r="Y359" s="140"/>
      <c r="Z359" s="140"/>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1:91">
      <c r="A360" s="147"/>
      <c r="B360" s="147"/>
      <c r="C360" s="147"/>
      <c r="D360" s="147"/>
      <c r="E360" s="147"/>
      <c r="F360" s="147"/>
      <c r="G360" s="147"/>
      <c r="H360" s="147"/>
      <c r="I360" s="147"/>
      <c r="J360" s="147"/>
      <c r="K360" s="140"/>
      <c r="L360" s="140"/>
      <c r="M360" s="140"/>
      <c r="N360" s="140"/>
      <c r="O360" s="141"/>
      <c r="P360" s="140"/>
      <c r="Q360" s="140"/>
      <c r="R360" s="140"/>
      <c r="S360" s="140"/>
      <c r="T360" s="140"/>
      <c r="U360" s="140"/>
      <c r="V360" s="140"/>
      <c r="W360" s="140"/>
      <c r="X360" s="140"/>
      <c r="Y360" s="140"/>
      <c r="Z360" s="14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1:91">
      <c r="A361" s="147"/>
      <c r="B361" s="147"/>
      <c r="C361" s="147"/>
      <c r="D361" s="147"/>
      <c r="E361" s="147"/>
      <c r="F361" s="147"/>
      <c r="G361" s="147"/>
      <c r="H361" s="147"/>
      <c r="I361" s="147"/>
      <c r="J361" s="147"/>
      <c r="K361" s="140"/>
      <c r="L361" s="140"/>
      <c r="M361" s="140"/>
      <c r="N361" s="140"/>
      <c r="O361" s="141"/>
      <c r="P361" s="140"/>
      <c r="Q361" s="140"/>
      <c r="R361" s="140"/>
      <c r="S361" s="140"/>
      <c r="T361" s="140"/>
      <c r="U361" s="140"/>
      <c r="V361" s="140"/>
      <c r="W361" s="140"/>
      <c r="X361" s="140"/>
      <c r="Y361" s="140"/>
      <c r="Z361" s="140"/>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1:91">
      <c r="A362" s="147"/>
      <c r="B362" s="147"/>
      <c r="C362" s="147"/>
      <c r="D362" s="147"/>
      <c r="E362" s="147"/>
      <c r="F362" s="147"/>
      <c r="G362" s="147"/>
      <c r="H362" s="147"/>
      <c r="I362" s="147"/>
      <c r="J362" s="147"/>
      <c r="K362" s="140"/>
      <c r="L362" s="140"/>
      <c r="M362" s="140"/>
      <c r="N362" s="140"/>
      <c r="O362" s="141"/>
      <c r="P362" s="140"/>
      <c r="Q362" s="140"/>
      <c r="R362" s="140"/>
      <c r="S362" s="140"/>
      <c r="T362" s="140"/>
      <c r="U362" s="140"/>
      <c r="V362" s="140"/>
      <c r="W362" s="140"/>
      <c r="X362" s="140"/>
      <c r="Y362" s="140"/>
      <c r="Z362" s="140"/>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1:91">
      <c r="A363" s="147"/>
      <c r="B363" s="147"/>
      <c r="C363" s="147"/>
      <c r="D363" s="147"/>
      <c r="E363" s="147"/>
      <c r="F363" s="147"/>
      <c r="G363" s="147"/>
      <c r="H363" s="147"/>
      <c r="I363" s="147"/>
      <c r="J363" s="147"/>
      <c r="K363" s="140"/>
      <c r="L363" s="140"/>
      <c r="M363" s="140"/>
      <c r="N363" s="140"/>
      <c r="O363" s="141"/>
      <c r="P363" s="140"/>
      <c r="Q363" s="140"/>
      <c r="R363" s="140"/>
      <c r="S363" s="140"/>
      <c r="T363" s="140"/>
      <c r="U363" s="140"/>
      <c r="V363" s="140"/>
      <c r="W363" s="140"/>
      <c r="X363" s="140"/>
      <c r="Y363" s="140"/>
      <c r="Z363" s="140"/>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1:91">
      <c r="A364" s="147"/>
      <c r="B364" s="147"/>
      <c r="C364" s="147"/>
      <c r="D364" s="147"/>
      <c r="E364" s="147"/>
      <c r="F364" s="147"/>
      <c r="G364" s="147"/>
      <c r="H364" s="147"/>
      <c r="I364" s="147"/>
      <c r="J364" s="147"/>
      <c r="K364" s="140"/>
      <c r="L364" s="140"/>
      <c r="M364" s="140"/>
      <c r="N364" s="140"/>
      <c r="O364" s="141"/>
      <c r="P364" s="140"/>
      <c r="Q364" s="140"/>
      <c r="R364" s="140"/>
      <c r="S364" s="140"/>
      <c r="T364" s="140"/>
      <c r="U364" s="140"/>
      <c r="V364" s="140"/>
      <c r="W364" s="140"/>
      <c r="X364" s="140"/>
      <c r="Y364" s="140"/>
      <c r="Z364" s="140"/>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1:91">
      <c r="A365" s="147"/>
      <c r="B365" s="147"/>
      <c r="C365" s="147"/>
      <c r="D365" s="147"/>
      <c r="E365" s="147"/>
      <c r="F365" s="147"/>
      <c r="G365" s="147"/>
      <c r="H365" s="147"/>
      <c r="I365" s="147"/>
      <c r="J365" s="147"/>
      <c r="K365" s="140"/>
      <c r="L365" s="140"/>
      <c r="M365" s="140"/>
      <c r="N365" s="140"/>
      <c r="O365" s="141"/>
      <c r="P365" s="140"/>
      <c r="Q365" s="140"/>
      <c r="R365" s="140"/>
      <c r="S365" s="140"/>
      <c r="T365" s="140"/>
      <c r="U365" s="140"/>
      <c r="V365" s="140"/>
      <c r="W365" s="140"/>
      <c r="X365" s="140"/>
      <c r="Y365" s="140"/>
      <c r="Z365" s="140"/>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1:91">
      <c r="A366" s="147"/>
      <c r="B366" s="147"/>
      <c r="C366" s="147"/>
      <c r="D366" s="147"/>
      <c r="E366" s="147"/>
      <c r="F366" s="147"/>
      <c r="G366" s="147"/>
      <c r="H366" s="147"/>
      <c r="I366" s="147"/>
      <c r="J366" s="147"/>
      <c r="K366" s="140"/>
      <c r="L366" s="140"/>
      <c r="M366" s="140"/>
      <c r="N366" s="140"/>
      <c r="O366" s="141"/>
      <c r="P366" s="140"/>
      <c r="Q366" s="140"/>
      <c r="R366" s="140"/>
      <c r="S366" s="140"/>
      <c r="T366" s="140"/>
      <c r="U366" s="140"/>
      <c r="V366" s="140"/>
      <c r="W366" s="140"/>
      <c r="X366" s="140"/>
      <c r="Y366" s="140"/>
      <c r="Z366" s="140"/>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1:91">
      <c r="A367" s="147"/>
      <c r="B367" s="147"/>
      <c r="C367" s="147"/>
      <c r="D367" s="147"/>
      <c r="E367" s="147"/>
      <c r="F367" s="147"/>
      <c r="G367" s="147"/>
      <c r="H367" s="147"/>
      <c r="I367" s="147"/>
      <c r="J367" s="147"/>
      <c r="K367" s="140"/>
      <c r="L367" s="140"/>
      <c r="M367" s="140"/>
      <c r="N367" s="140"/>
      <c r="O367" s="141"/>
      <c r="P367" s="140"/>
      <c r="Q367" s="140"/>
      <c r="R367" s="140"/>
      <c r="S367" s="140"/>
      <c r="T367" s="140"/>
      <c r="U367" s="140"/>
      <c r="V367" s="140"/>
      <c r="W367" s="140"/>
      <c r="X367" s="140"/>
      <c r="Y367" s="140"/>
      <c r="Z367" s="140"/>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1:91">
      <c r="A368" s="147"/>
      <c r="B368" s="147"/>
      <c r="C368" s="147"/>
      <c r="D368" s="147"/>
      <c r="E368" s="147"/>
      <c r="F368" s="147"/>
      <c r="G368" s="147"/>
      <c r="H368" s="147"/>
      <c r="I368" s="147"/>
      <c r="J368" s="147"/>
      <c r="K368" s="140"/>
      <c r="L368" s="140"/>
      <c r="M368" s="140"/>
      <c r="N368" s="140"/>
      <c r="O368" s="141"/>
      <c r="P368" s="140"/>
      <c r="Q368" s="140"/>
      <c r="R368" s="140"/>
      <c r="S368" s="140"/>
      <c r="T368" s="140"/>
      <c r="U368" s="140"/>
      <c r="V368" s="140"/>
      <c r="W368" s="140"/>
      <c r="X368" s="140"/>
      <c r="Y368" s="140"/>
      <c r="Z368" s="140"/>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1:91">
      <c r="A369" s="147"/>
      <c r="B369" s="147"/>
      <c r="C369" s="147"/>
      <c r="D369" s="147"/>
      <c r="E369" s="147"/>
      <c r="F369" s="147"/>
      <c r="G369" s="147"/>
      <c r="H369" s="147"/>
      <c r="I369" s="147"/>
      <c r="J369" s="147"/>
      <c r="K369" s="140"/>
      <c r="L369" s="140"/>
      <c r="M369" s="140"/>
      <c r="N369" s="140"/>
      <c r="O369" s="141"/>
      <c r="P369" s="140"/>
      <c r="Q369" s="140"/>
      <c r="R369" s="140"/>
      <c r="S369" s="140"/>
      <c r="T369" s="140"/>
      <c r="U369" s="140"/>
      <c r="V369" s="140"/>
      <c r="W369" s="140"/>
      <c r="X369" s="140"/>
      <c r="Y369" s="140"/>
      <c r="Z369" s="140"/>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1:91">
      <c r="A370" s="147"/>
      <c r="B370" s="147"/>
      <c r="C370" s="147"/>
      <c r="D370" s="147"/>
      <c r="E370" s="147"/>
      <c r="F370" s="147"/>
      <c r="G370" s="147"/>
      <c r="H370" s="147"/>
      <c r="I370" s="147"/>
      <c r="J370" s="147"/>
      <c r="K370" s="140"/>
      <c r="L370" s="140"/>
      <c r="M370" s="140"/>
      <c r="N370" s="140"/>
      <c r="O370" s="141"/>
      <c r="P370" s="140"/>
      <c r="Q370" s="140"/>
      <c r="R370" s="140"/>
      <c r="S370" s="140"/>
      <c r="T370" s="140"/>
      <c r="U370" s="140"/>
      <c r="V370" s="140"/>
      <c r="W370" s="140"/>
      <c r="X370" s="140"/>
      <c r="Y370" s="140"/>
      <c r="Z370" s="14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1:91">
      <c r="A371" s="147"/>
      <c r="B371" s="147"/>
      <c r="C371" s="147"/>
      <c r="D371" s="147"/>
      <c r="E371" s="147"/>
      <c r="F371" s="147"/>
      <c r="G371" s="147"/>
      <c r="H371" s="147"/>
      <c r="I371" s="147"/>
      <c r="J371" s="147"/>
      <c r="K371" s="140"/>
      <c r="L371" s="140"/>
      <c r="M371" s="140"/>
      <c r="N371" s="140"/>
      <c r="O371" s="141"/>
      <c r="P371" s="140"/>
      <c r="Q371" s="140"/>
      <c r="R371" s="140"/>
      <c r="S371" s="140"/>
      <c r="T371" s="140"/>
      <c r="U371" s="140"/>
      <c r="V371" s="140"/>
      <c r="W371" s="140"/>
      <c r="X371" s="140"/>
      <c r="Y371" s="140"/>
      <c r="Z371" s="140"/>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1:91">
      <c r="A372" s="147"/>
      <c r="B372" s="147"/>
      <c r="C372" s="147"/>
      <c r="D372" s="147"/>
      <c r="E372" s="147"/>
      <c r="F372" s="147"/>
      <c r="G372" s="147"/>
      <c r="H372" s="147"/>
      <c r="I372" s="147"/>
      <c r="J372" s="147"/>
      <c r="K372" s="140"/>
      <c r="L372" s="140"/>
      <c r="M372" s="140"/>
      <c r="N372" s="140"/>
      <c r="O372" s="141"/>
      <c r="P372" s="140"/>
      <c r="Q372" s="140"/>
      <c r="R372" s="140"/>
      <c r="S372" s="140"/>
      <c r="T372" s="140"/>
      <c r="U372" s="140"/>
      <c r="V372" s="140"/>
      <c r="W372" s="140"/>
      <c r="X372" s="140"/>
      <c r="Y372" s="140"/>
      <c r="Z372" s="140"/>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1:91">
      <c r="A373" s="147"/>
      <c r="B373" s="147"/>
      <c r="C373" s="147"/>
      <c r="D373" s="147"/>
      <c r="E373" s="147"/>
      <c r="F373" s="147"/>
      <c r="G373" s="147"/>
      <c r="H373" s="147"/>
      <c r="I373" s="147"/>
      <c r="J373" s="147"/>
      <c r="K373" s="140"/>
      <c r="L373" s="140"/>
      <c r="M373" s="140"/>
      <c r="N373" s="140"/>
      <c r="O373" s="141"/>
      <c r="P373" s="140"/>
      <c r="Q373" s="140"/>
      <c r="R373" s="140"/>
      <c r="S373" s="140"/>
      <c r="T373" s="140"/>
      <c r="U373" s="140"/>
      <c r="V373" s="140"/>
      <c r="W373" s="140"/>
      <c r="X373" s="140"/>
      <c r="Y373" s="140"/>
      <c r="Z373" s="140"/>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1:91">
      <c r="A374" s="147"/>
      <c r="B374" s="147"/>
      <c r="C374" s="147"/>
      <c r="D374" s="147"/>
      <c r="E374" s="147"/>
      <c r="F374" s="147"/>
      <c r="G374" s="147"/>
      <c r="H374" s="147"/>
      <c r="I374" s="147"/>
      <c r="J374" s="147"/>
      <c r="K374" s="140"/>
      <c r="L374" s="140"/>
      <c r="M374" s="140"/>
      <c r="N374" s="140"/>
      <c r="O374" s="141"/>
      <c r="P374" s="140"/>
      <c r="Q374" s="140"/>
      <c r="R374" s="140"/>
      <c r="S374" s="140"/>
      <c r="T374" s="140"/>
      <c r="U374" s="140"/>
      <c r="V374" s="140"/>
      <c r="W374" s="140"/>
      <c r="X374" s="140"/>
      <c r="Y374" s="140"/>
      <c r="Z374" s="140"/>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1:91">
      <c r="A375" s="147"/>
      <c r="B375" s="147"/>
      <c r="C375" s="147"/>
      <c r="D375" s="147"/>
      <c r="E375" s="147"/>
      <c r="F375" s="147"/>
      <c r="G375" s="147"/>
      <c r="H375" s="147"/>
      <c r="I375" s="147"/>
      <c r="J375" s="147"/>
      <c r="K375" s="140"/>
      <c r="L375" s="140"/>
      <c r="M375" s="140"/>
      <c r="N375" s="140"/>
      <c r="O375" s="141"/>
      <c r="P375" s="140"/>
      <c r="Q375" s="140"/>
      <c r="R375" s="140"/>
      <c r="S375" s="140"/>
      <c r="T375" s="140"/>
      <c r="U375" s="140"/>
      <c r="V375" s="140"/>
      <c r="W375" s="140"/>
      <c r="X375" s="140"/>
      <c r="Y375" s="140"/>
      <c r="Z375" s="140"/>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1:91">
      <c r="A376" s="147"/>
      <c r="B376" s="147"/>
      <c r="C376" s="147"/>
      <c r="D376" s="147"/>
      <c r="E376" s="147"/>
      <c r="F376" s="147"/>
      <c r="G376" s="147"/>
      <c r="H376" s="147"/>
      <c r="I376" s="147"/>
      <c r="J376" s="147"/>
      <c r="K376" s="140"/>
      <c r="L376" s="140"/>
      <c r="M376" s="140"/>
      <c r="N376" s="140"/>
      <c r="O376" s="141"/>
      <c r="P376" s="140"/>
      <c r="Q376" s="140"/>
      <c r="R376" s="140"/>
      <c r="S376" s="140"/>
      <c r="T376" s="140"/>
      <c r="U376" s="140"/>
      <c r="V376" s="140"/>
      <c r="W376" s="140"/>
      <c r="X376" s="140"/>
      <c r="Y376" s="140"/>
      <c r="Z376" s="140"/>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1:91">
      <c r="A377" s="147"/>
      <c r="B377" s="147"/>
      <c r="C377" s="147"/>
      <c r="D377" s="147"/>
      <c r="E377" s="147"/>
      <c r="F377" s="147"/>
      <c r="G377" s="147"/>
      <c r="H377" s="147"/>
      <c r="I377" s="147"/>
      <c r="J377" s="147"/>
      <c r="K377" s="140"/>
      <c r="L377" s="140"/>
      <c r="M377" s="140"/>
      <c r="N377" s="140"/>
      <c r="O377" s="141"/>
      <c r="P377" s="140"/>
      <c r="Q377" s="140"/>
      <c r="R377" s="140"/>
      <c r="S377" s="140"/>
      <c r="T377" s="140"/>
      <c r="U377" s="140"/>
      <c r="V377" s="140"/>
      <c r="W377" s="140"/>
      <c r="X377" s="140"/>
      <c r="Y377" s="140"/>
      <c r="Z377" s="140"/>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1:91">
      <c r="A378" s="147"/>
      <c r="B378" s="147"/>
      <c r="C378" s="147"/>
      <c r="D378" s="147"/>
      <c r="E378" s="147"/>
      <c r="F378" s="147"/>
      <c r="G378" s="147"/>
      <c r="H378" s="147"/>
      <c r="I378" s="147"/>
      <c r="J378" s="147"/>
      <c r="K378" s="140"/>
      <c r="L378" s="140"/>
      <c r="M378" s="140"/>
      <c r="N378" s="140"/>
      <c r="O378" s="141"/>
      <c r="P378" s="140"/>
      <c r="Q378" s="140"/>
      <c r="R378" s="140"/>
      <c r="S378" s="140"/>
      <c r="T378" s="140"/>
      <c r="U378" s="140"/>
      <c r="V378" s="140"/>
      <c r="W378" s="140"/>
      <c r="X378" s="140"/>
      <c r="Y378" s="140"/>
      <c r="Z378" s="140"/>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1:91">
      <c r="A379" s="147"/>
      <c r="B379" s="147"/>
      <c r="C379" s="147"/>
      <c r="D379" s="147"/>
      <c r="E379" s="147"/>
      <c r="F379" s="147"/>
      <c r="G379" s="147"/>
      <c r="H379" s="147"/>
      <c r="I379" s="147"/>
      <c r="J379" s="147"/>
      <c r="K379" s="140"/>
      <c r="L379" s="140"/>
      <c r="M379" s="140"/>
      <c r="N379" s="140"/>
      <c r="O379" s="141"/>
      <c r="P379" s="140"/>
      <c r="Q379" s="140"/>
      <c r="R379" s="140"/>
      <c r="S379" s="140"/>
      <c r="T379" s="140"/>
      <c r="U379" s="140"/>
      <c r="V379" s="140"/>
      <c r="W379" s="140"/>
      <c r="X379" s="140"/>
      <c r="Y379" s="140"/>
      <c r="Z379" s="140"/>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1:91">
      <c r="A380" s="147"/>
      <c r="B380" s="147"/>
      <c r="C380" s="147"/>
      <c r="D380" s="147"/>
      <c r="E380" s="147"/>
      <c r="F380" s="147"/>
      <c r="G380" s="147"/>
      <c r="H380" s="147"/>
      <c r="I380" s="147"/>
      <c r="J380" s="147"/>
      <c r="K380" s="140"/>
      <c r="L380" s="140"/>
      <c r="M380" s="140"/>
      <c r="N380" s="140"/>
      <c r="O380" s="141"/>
      <c r="P380" s="140"/>
      <c r="Q380" s="140"/>
      <c r="R380" s="140"/>
      <c r="S380" s="140"/>
      <c r="T380" s="140"/>
      <c r="U380" s="140"/>
      <c r="V380" s="140"/>
      <c r="W380" s="140"/>
      <c r="X380" s="140"/>
      <c r="Y380" s="140"/>
      <c r="Z380" s="14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1:91">
      <c r="A381" s="147"/>
      <c r="B381" s="147"/>
      <c r="C381" s="147"/>
      <c r="D381" s="147"/>
      <c r="E381" s="147"/>
      <c r="F381" s="147"/>
      <c r="G381" s="147"/>
      <c r="H381" s="147"/>
      <c r="I381" s="147"/>
      <c r="J381" s="147"/>
      <c r="K381" s="140"/>
      <c r="L381" s="140"/>
      <c r="M381" s="140"/>
      <c r="N381" s="140"/>
      <c r="O381" s="141"/>
      <c r="P381" s="140"/>
      <c r="Q381" s="140"/>
      <c r="R381" s="140"/>
      <c r="S381" s="140"/>
      <c r="T381" s="140"/>
      <c r="U381" s="140"/>
      <c r="V381" s="140"/>
      <c r="W381" s="140"/>
      <c r="X381" s="140"/>
      <c r="Y381" s="140"/>
      <c r="Z381" s="140"/>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1:91">
      <c r="A382" s="147"/>
      <c r="B382" s="147"/>
      <c r="C382" s="147"/>
      <c r="D382" s="147"/>
      <c r="E382" s="147"/>
      <c r="F382" s="147"/>
      <c r="G382" s="147"/>
      <c r="H382" s="147"/>
      <c r="I382" s="147"/>
      <c r="J382" s="147"/>
      <c r="K382" s="140"/>
      <c r="L382" s="140"/>
      <c r="M382" s="140"/>
      <c r="N382" s="140"/>
      <c r="O382" s="141"/>
      <c r="P382" s="140"/>
      <c r="Q382" s="140"/>
      <c r="R382" s="140"/>
      <c r="S382" s="140"/>
      <c r="T382" s="140"/>
      <c r="U382" s="140"/>
      <c r="V382" s="140"/>
      <c r="W382" s="140"/>
      <c r="X382" s="140"/>
      <c r="Y382" s="140"/>
      <c r="Z382" s="140"/>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1:91">
      <c r="A383" s="147"/>
      <c r="B383" s="147"/>
      <c r="C383" s="147"/>
      <c r="D383" s="147"/>
      <c r="E383" s="147"/>
      <c r="F383" s="147"/>
      <c r="G383" s="147"/>
      <c r="H383" s="147"/>
      <c r="I383" s="147"/>
      <c r="J383" s="147"/>
      <c r="K383" s="140"/>
      <c r="L383" s="140"/>
      <c r="M383" s="140"/>
      <c r="N383" s="140"/>
      <c r="O383" s="141"/>
      <c r="P383" s="140"/>
      <c r="Q383" s="140"/>
      <c r="R383" s="140"/>
      <c r="S383" s="140"/>
      <c r="T383" s="140"/>
      <c r="U383" s="140"/>
      <c r="V383" s="140"/>
      <c r="W383" s="140"/>
      <c r="X383" s="140"/>
      <c r="Y383" s="140"/>
      <c r="Z383" s="140"/>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1:91">
      <c r="A384" s="147"/>
      <c r="B384" s="147"/>
      <c r="C384" s="147"/>
      <c r="D384" s="147"/>
      <c r="E384" s="147"/>
      <c r="F384" s="147"/>
      <c r="G384" s="147"/>
      <c r="H384" s="147"/>
      <c r="I384" s="147"/>
      <c r="J384" s="147"/>
      <c r="K384" s="140"/>
      <c r="L384" s="140"/>
      <c r="M384" s="140"/>
      <c r="N384" s="140"/>
      <c r="O384" s="141"/>
      <c r="P384" s="140"/>
      <c r="Q384" s="140"/>
      <c r="R384" s="140"/>
      <c r="S384" s="140"/>
      <c r="T384" s="140"/>
      <c r="U384" s="140"/>
      <c r="V384" s="140"/>
      <c r="W384" s="140"/>
      <c r="X384" s="140"/>
      <c r="Y384" s="140"/>
      <c r="Z384" s="140"/>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1:91">
      <c r="A385" s="147"/>
      <c r="B385" s="147"/>
      <c r="C385" s="147"/>
      <c r="D385" s="147"/>
      <c r="E385" s="147"/>
      <c r="F385" s="147"/>
      <c r="G385" s="147"/>
      <c r="H385" s="147"/>
      <c r="I385" s="147"/>
      <c r="J385" s="147"/>
      <c r="K385" s="140"/>
      <c r="L385" s="140"/>
      <c r="M385" s="140"/>
      <c r="N385" s="140"/>
      <c r="O385" s="141"/>
      <c r="P385" s="140"/>
      <c r="Q385" s="140"/>
      <c r="R385" s="140"/>
      <c r="S385" s="140"/>
      <c r="T385" s="140"/>
      <c r="U385" s="140"/>
      <c r="V385" s="140"/>
      <c r="W385" s="140"/>
      <c r="X385" s="140"/>
      <c r="Y385" s="140"/>
      <c r="Z385" s="140"/>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1:91">
      <c r="A386" s="147"/>
      <c r="B386" s="147"/>
      <c r="C386" s="147"/>
      <c r="D386" s="147"/>
      <c r="E386" s="147"/>
      <c r="F386" s="147"/>
      <c r="G386" s="147"/>
      <c r="H386" s="147"/>
      <c r="I386" s="147"/>
      <c r="J386" s="147"/>
      <c r="K386" s="140"/>
      <c r="L386" s="140"/>
      <c r="M386" s="140"/>
      <c r="N386" s="140"/>
      <c r="O386" s="141"/>
      <c r="P386" s="140"/>
      <c r="Q386" s="140"/>
      <c r="R386" s="140"/>
      <c r="S386" s="140"/>
      <c r="T386" s="140"/>
      <c r="U386" s="140"/>
      <c r="V386" s="140"/>
      <c r="W386" s="140"/>
      <c r="X386" s="140"/>
      <c r="Y386" s="140"/>
      <c r="Z386" s="140"/>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1:91">
      <c r="A387" s="147"/>
      <c r="B387" s="147"/>
      <c r="C387" s="147"/>
      <c r="D387" s="147"/>
      <c r="E387" s="147"/>
      <c r="F387" s="147"/>
      <c r="G387" s="147"/>
      <c r="H387" s="147"/>
      <c r="I387" s="147"/>
      <c r="J387" s="147"/>
      <c r="K387" s="140"/>
      <c r="L387" s="140"/>
      <c r="M387" s="140"/>
      <c r="N387" s="140"/>
      <c r="O387" s="141"/>
      <c r="P387" s="140"/>
      <c r="Q387" s="140"/>
      <c r="R387" s="140"/>
      <c r="S387" s="140"/>
      <c r="T387" s="140"/>
      <c r="U387" s="140"/>
      <c r="V387" s="140"/>
      <c r="W387" s="140"/>
      <c r="X387" s="140"/>
      <c r="Y387" s="140"/>
      <c r="Z387" s="140"/>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1:91">
      <c r="A388" s="147"/>
      <c r="B388" s="147"/>
      <c r="C388" s="147"/>
      <c r="D388" s="147"/>
      <c r="E388" s="147"/>
      <c r="F388" s="147"/>
      <c r="G388" s="147"/>
      <c r="H388" s="147"/>
      <c r="I388" s="147"/>
      <c r="J388" s="147"/>
      <c r="K388" s="140"/>
      <c r="L388" s="140"/>
      <c r="M388" s="140"/>
      <c r="N388" s="140"/>
      <c r="O388" s="141"/>
      <c r="P388" s="140"/>
      <c r="Q388" s="140"/>
      <c r="R388" s="140"/>
      <c r="S388" s="140"/>
      <c r="T388" s="140"/>
      <c r="U388" s="140"/>
      <c r="V388" s="140"/>
      <c r="W388" s="140"/>
      <c r="X388" s="140"/>
      <c r="Y388" s="140"/>
      <c r="Z388" s="140"/>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1:91">
      <c r="A389" s="147"/>
      <c r="B389" s="147"/>
      <c r="C389" s="147"/>
      <c r="D389" s="147"/>
      <c r="E389" s="147"/>
      <c r="F389" s="147"/>
      <c r="G389" s="147"/>
      <c r="H389" s="147"/>
      <c r="I389" s="147"/>
      <c r="J389" s="147"/>
      <c r="K389" s="140"/>
      <c r="L389" s="140"/>
      <c r="M389" s="140"/>
      <c r="N389" s="140"/>
      <c r="O389" s="141"/>
      <c r="P389" s="140"/>
      <c r="Q389" s="140"/>
      <c r="R389" s="140"/>
      <c r="S389" s="140"/>
      <c r="T389" s="140"/>
      <c r="U389" s="140"/>
      <c r="V389" s="140"/>
      <c r="W389" s="140"/>
      <c r="X389" s="140"/>
      <c r="Y389" s="140"/>
      <c r="Z389" s="140"/>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1:91">
      <c r="A390" s="147"/>
      <c r="B390" s="147"/>
      <c r="C390" s="147"/>
      <c r="D390" s="147"/>
      <c r="E390" s="147"/>
      <c r="F390" s="147"/>
      <c r="G390" s="147"/>
      <c r="H390" s="147"/>
      <c r="I390" s="147"/>
      <c r="J390" s="147"/>
      <c r="K390" s="140"/>
      <c r="L390" s="140"/>
      <c r="M390" s="140"/>
      <c r="N390" s="140"/>
      <c r="O390" s="141"/>
      <c r="P390" s="140"/>
      <c r="Q390" s="140"/>
      <c r="R390" s="140"/>
      <c r="S390" s="140"/>
      <c r="T390" s="140"/>
      <c r="U390" s="140"/>
      <c r="V390" s="140"/>
      <c r="W390" s="140"/>
      <c r="X390" s="140"/>
      <c r="Y390" s="140"/>
      <c r="Z390" s="14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1:91">
      <c r="A391" s="147"/>
      <c r="B391" s="147"/>
      <c r="C391" s="147"/>
      <c r="D391" s="147"/>
      <c r="E391" s="147"/>
      <c r="F391" s="147"/>
      <c r="G391" s="147"/>
      <c r="H391" s="147"/>
      <c r="I391" s="147"/>
      <c r="J391" s="147"/>
      <c r="K391" s="140"/>
      <c r="L391" s="140"/>
      <c r="M391" s="140"/>
      <c r="N391" s="140"/>
      <c r="O391" s="141"/>
      <c r="P391" s="140"/>
      <c r="Q391" s="140"/>
      <c r="R391" s="140"/>
      <c r="S391" s="140"/>
      <c r="T391" s="140"/>
      <c r="U391" s="140"/>
      <c r="V391" s="140"/>
      <c r="W391" s="140"/>
      <c r="X391" s="140"/>
      <c r="Y391" s="140"/>
      <c r="Z391" s="140"/>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1:91">
      <c r="A392" s="147"/>
      <c r="B392" s="147"/>
      <c r="C392" s="147"/>
      <c r="D392" s="147"/>
      <c r="E392" s="147"/>
      <c r="F392" s="147"/>
      <c r="G392" s="147"/>
      <c r="H392" s="147"/>
      <c r="I392" s="147"/>
      <c r="J392" s="147"/>
      <c r="K392" s="140"/>
      <c r="L392" s="140"/>
      <c r="M392" s="140"/>
      <c r="N392" s="140"/>
      <c r="O392" s="141"/>
      <c r="P392" s="140"/>
      <c r="Q392" s="140"/>
      <c r="R392" s="140"/>
      <c r="S392" s="140"/>
      <c r="T392" s="140"/>
      <c r="U392" s="140"/>
      <c r="V392" s="140"/>
      <c r="W392" s="140"/>
      <c r="X392" s="140"/>
      <c r="Y392" s="140"/>
      <c r="Z392" s="140"/>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1:91">
      <c r="A393" s="147"/>
      <c r="B393" s="147"/>
      <c r="C393" s="147"/>
      <c r="D393" s="147"/>
      <c r="E393" s="147"/>
      <c r="F393" s="147"/>
      <c r="G393" s="147"/>
      <c r="H393" s="147"/>
      <c r="I393" s="147"/>
      <c r="J393" s="147"/>
      <c r="K393" s="140"/>
      <c r="L393" s="140"/>
      <c r="M393" s="140"/>
      <c r="N393" s="140"/>
      <c r="O393" s="141"/>
      <c r="P393" s="140"/>
      <c r="Q393" s="140"/>
      <c r="R393" s="140"/>
      <c r="S393" s="140"/>
      <c r="T393" s="140"/>
      <c r="U393" s="140"/>
      <c r="V393" s="140"/>
      <c r="W393" s="140"/>
      <c r="X393" s="140"/>
      <c r="Y393" s="140"/>
      <c r="Z393" s="140"/>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1:91">
      <c r="A394" s="147"/>
      <c r="B394" s="147"/>
      <c r="C394" s="147"/>
      <c r="D394" s="147"/>
      <c r="E394" s="147"/>
      <c r="F394" s="147"/>
      <c r="G394" s="147"/>
      <c r="H394" s="147"/>
      <c r="I394" s="147"/>
      <c r="J394" s="147"/>
      <c r="K394" s="140"/>
      <c r="L394" s="140"/>
      <c r="M394" s="140"/>
      <c r="N394" s="140"/>
      <c r="O394" s="141"/>
      <c r="P394" s="140"/>
      <c r="Q394" s="140"/>
      <c r="R394" s="140"/>
      <c r="S394" s="140"/>
      <c r="T394" s="140"/>
      <c r="U394" s="140"/>
      <c r="V394" s="140"/>
      <c r="W394" s="140"/>
      <c r="X394" s="140"/>
      <c r="Y394" s="140"/>
      <c r="Z394" s="140"/>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1:91">
      <c r="A395" s="147"/>
      <c r="B395" s="147"/>
      <c r="C395" s="147"/>
      <c r="D395" s="147"/>
      <c r="E395" s="147"/>
      <c r="F395" s="147"/>
      <c r="G395" s="147"/>
      <c r="H395" s="147"/>
      <c r="I395" s="147"/>
      <c r="J395" s="147"/>
      <c r="K395" s="140"/>
      <c r="L395" s="140"/>
      <c r="M395" s="140"/>
      <c r="N395" s="140"/>
      <c r="O395" s="141"/>
      <c r="P395" s="140"/>
      <c r="Q395" s="140"/>
      <c r="R395" s="140"/>
      <c r="S395" s="140"/>
      <c r="T395" s="140"/>
      <c r="U395" s="140"/>
      <c r="V395" s="140"/>
      <c r="W395" s="140"/>
      <c r="X395" s="140"/>
      <c r="Y395" s="140"/>
      <c r="Z395" s="140"/>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1:91">
      <c r="A396" s="147"/>
      <c r="B396" s="147"/>
      <c r="C396" s="147"/>
      <c r="D396" s="147"/>
      <c r="E396" s="147"/>
      <c r="F396" s="147"/>
      <c r="G396" s="147"/>
      <c r="H396" s="147"/>
      <c r="I396" s="147"/>
      <c r="J396" s="147"/>
      <c r="K396" s="140"/>
      <c r="L396" s="140"/>
      <c r="M396" s="140"/>
      <c r="N396" s="140"/>
      <c r="O396" s="141"/>
      <c r="P396" s="140"/>
      <c r="Q396" s="140"/>
      <c r="R396" s="140"/>
      <c r="S396" s="140"/>
      <c r="T396" s="140"/>
      <c r="U396" s="140"/>
      <c r="V396" s="140"/>
      <c r="W396" s="140"/>
      <c r="X396" s="140"/>
      <c r="Y396" s="140"/>
      <c r="Z396" s="140"/>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1:91">
      <c r="A397" s="147"/>
      <c r="B397" s="147"/>
      <c r="C397" s="147"/>
      <c r="D397" s="147"/>
      <c r="E397" s="147"/>
      <c r="F397" s="147"/>
      <c r="G397" s="147"/>
      <c r="H397" s="147"/>
      <c r="I397" s="147"/>
      <c r="J397" s="147"/>
      <c r="K397" s="140"/>
      <c r="L397" s="140"/>
      <c r="M397" s="140"/>
      <c r="N397" s="140"/>
      <c r="O397" s="141"/>
      <c r="P397" s="140"/>
      <c r="Q397" s="140"/>
      <c r="R397" s="140"/>
      <c r="S397" s="140"/>
      <c r="T397" s="140"/>
      <c r="U397" s="140"/>
      <c r="V397" s="140"/>
      <c r="W397" s="140"/>
      <c r="X397" s="140"/>
      <c r="Y397" s="140"/>
      <c r="Z397" s="140"/>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1:91">
      <c r="A398" s="147"/>
      <c r="B398" s="147"/>
      <c r="C398" s="147"/>
      <c r="D398" s="147"/>
      <c r="E398" s="147"/>
      <c r="F398" s="147"/>
      <c r="G398" s="147"/>
      <c r="H398" s="147"/>
      <c r="I398" s="147"/>
      <c r="J398" s="147"/>
      <c r="K398" s="140"/>
      <c r="L398" s="140"/>
      <c r="M398" s="140"/>
      <c r="N398" s="140"/>
      <c r="O398" s="141"/>
      <c r="P398" s="140"/>
      <c r="Q398" s="140"/>
      <c r="R398" s="140"/>
      <c r="S398" s="140"/>
      <c r="T398" s="140"/>
      <c r="U398" s="140"/>
      <c r="V398" s="140"/>
      <c r="W398" s="140"/>
      <c r="X398" s="140"/>
      <c r="Y398" s="140"/>
      <c r="Z398" s="140"/>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1:91">
      <c r="A399" s="147"/>
      <c r="B399" s="147"/>
      <c r="C399" s="147"/>
      <c r="D399" s="147"/>
      <c r="E399" s="147"/>
      <c r="F399" s="147"/>
      <c r="G399" s="147"/>
      <c r="H399" s="147"/>
      <c r="I399" s="147"/>
      <c r="J399" s="147"/>
      <c r="K399" s="140"/>
      <c r="L399" s="140"/>
      <c r="M399" s="140"/>
      <c r="N399" s="140"/>
      <c r="O399" s="141"/>
      <c r="P399" s="140"/>
      <c r="Q399" s="140"/>
      <c r="R399" s="140"/>
      <c r="S399" s="140"/>
      <c r="T399" s="140"/>
      <c r="U399" s="140"/>
      <c r="V399" s="140"/>
      <c r="W399" s="140"/>
      <c r="X399" s="140"/>
      <c r="Y399" s="140"/>
      <c r="Z399" s="140"/>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1:91">
      <c r="A400" s="147"/>
      <c r="B400" s="147"/>
      <c r="C400" s="147"/>
      <c r="D400" s="147"/>
      <c r="E400" s="147"/>
      <c r="F400" s="147"/>
      <c r="G400" s="147"/>
      <c r="H400" s="147"/>
      <c r="I400" s="147"/>
      <c r="J400" s="147"/>
      <c r="K400" s="140"/>
      <c r="L400" s="140"/>
      <c r="M400" s="140"/>
      <c r="N400" s="140"/>
      <c r="O400" s="141"/>
      <c r="P400" s="140"/>
      <c r="Q400" s="140"/>
      <c r="R400" s="140"/>
      <c r="S400" s="140"/>
      <c r="T400" s="140"/>
      <c r="U400" s="140"/>
      <c r="V400" s="140"/>
      <c r="W400" s="140"/>
      <c r="X400" s="140"/>
      <c r="Y400" s="140"/>
      <c r="Z400" s="14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1:91">
      <c r="A401" s="147"/>
      <c r="B401" s="147"/>
      <c r="C401" s="147"/>
      <c r="D401" s="147"/>
      <c r="E401" s="147"/>
      <c r="F401" s="147"/>
      <c r="G401" s="147"/>
      <c r="H401" s="147"/>
      <c r="I401" s="147"/>
      <c r="J401" s="147"/>
      <c r="K401" s="140"/>
      <c r="L401" s="140"/>
      <c r="M401" s="140"/>
      <c r="N401" s="140"/>
      <c r="O401" s="141"/>
      <c r="P401" s="140"/>
      <c r="Q401" s="140"/>
      <c r="R401" s="140"/>
      <c r="S401" s="140"/>
      <c r="T401" s="140"/>
      <c r="U401" s="140"/>
      <c r="V401" s="140"/>
      <c r="W401" s="140"/>
      <c r="X401" s="140"/>
      <c r="Y401" s="140"/>
      <c r="Z401" s="140"/>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1:91">
      <c r="A402" s="147"/>
      <c r="B402" s="147"/>
      <c r="C402" s="147"/>
      <c r="D402" s="147"/>
      <c r="E402" s="147"/>
      <c r="F402" s="147"/>
      <c r="G402" s="147"/>
      <c r="H402" s="147"/>
      <c r="I402" s="147"/>
      <c r="J402" s="147"/>
      <c r="K402" s="140"/>
      <c r="L402" s="140"/>
      <c r="M402" s="140"/>
      <c r="N402" s="140"/>
      <c r="O402" s="141"/>
      <c r="P402" s="140"/>
      <c r="Q402" s="140"/>
      <c r="R402" s="140"/>
      <c r="S402" s="140"/>
      <c r="T402" s="140"/>
      <c r="U402" s="140"/>
      <c r="V402" s="140"/>
      <c r="W402" s="140"/>
      <c r="X402" s="140"/>
      <c r="Y402" s="140"/>
      <c r="Z402" s="140"/>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1:91">
      <c r="A403" s="147"/>
      <c r="B403" s="147"/>
      <c r="C403" s="147"/>
      <c r="D403" s="147"/>
      <c r="E403" s="147"/>
      <c r="F403" s="147"/>
      <c r="G403" s="147"/>
      <c r="H403" s="147"/>
      <c r="I403" s="147"/>
      <c r="J403" s="147"/>
      <c r="K403" s="140"/>
      <c r="L403" s="140"/>
      <c r="M403" s="140"/>
      <c r="N403" s="140"/>
      <c r="O403" s="141"/>
      <c r="P403" s="140"/>
      <c r="Q403" s="140"/>
      <c r="R403" s="140"/>
      <c r="S403" s="140"/>
      <c r="T403" s="140"/>
      <c r="U403" s="140"/>
      <c r="V403" s="140"/>
      <c r="W403" s="140"/>
      <c r="X403" s="140"/>
      <c r="Y403" s="140"/>
      <c r="Z403" s="140"/>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1:91">
      <c r="A404" s="147"/>
      <c r="B404" s="147"/>
      <c r="C404" s="147"/>
      <c r="D404" s="147"/>
      <c r="E404" s="147"/>
      <c r="F404" s="147"/>
      <c r="G404" s="147"/>
      <c r="H404" s="147"/>
      <c r="I404" s="147"/>
      <c r="J404" s="147"/>
      <c r="K404" s="140"/>
      <c r="L404" s="140"/>
      <c r="M404" s="140"/>
      <c r="N404" s="140"/>
      <c r="O404" s="141"/>
      <c r="P404" s="140"/>
      <c r="Q404" s="140"/>
      <c r="R404" s="140"/>
      <c r="S404" s="140"/>
      <c r="T404" s="140"/>
      <c r="U404" s="140"/>
      <c r="V404" s="140"/>
      <c r="W404" s="140"/>
      <c r="X404" s="140"/>
      <c r="Y404" s="140"/>
      <c r="Z404" s="140"/>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1:91">
      <c r="A405" s="147"/>
      <c r="B405" s="147"/>
      <c r="C405" s="147"/>
      <c r="D405" s="147"/>
      <c r="E405" s="147"/>
      <c r="F405" s="147"/>
      <c r="G405" s="147"/>
      <c r="H405" s="147"/>
      <c r="I405" s="147"/>
      <c r="J405" s="147"/>
      <c r="K405" s="140"/>
      <c r="L405" s="140"/>
      <c r="M405" s="140"/>
      <c r="N405" s="140"/>
      <c r="O405" s="141"/>
      <c r="P405" s="140"/>
      <c r="Q405" s="140"/>
      <c r="R405" s="140"/>
      <c r="S405" s="140"/>
      <c r="T405" s="140"/>
      <c r="U405" s="140"/>
      <c r="V405" s="140"/>
      <c r="W405" s="140"/>
      <c r="X405" s="140"/>
      <c r="Y405" s="140"/>
      <c r="Z405" s="140"/>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1:91">
      <c r="A406" s="147"/>
      <c r="B406" s="147"/>
      <c r="C406" s="147"/>
      <c r="D406" s="147"/>
      <c r="E406" s="147"/>
      <c r="F406" s="147"/>
      <c r="G406" s="147"/>
      <c r="H406" s="147"/>
      <c r="I406" s="147"/>
      <c r="J406" s="147"/>
      <c r="K406" s="140"/>
      <c r="L406" s="140"/>
      <c r="M406" s="140"/>
      <c r="N406" s="140"/>
      <c r="O406" s="141"/>
      <c r="P406" s="140"/>
      <c r="Q406" s="140"/>
      <c r="R406" s="140"/>
      <c r="S406" s="140"/>
      <c r="T406" s="140"/>
      <c r="U406" s="140"/>
      <c r="V406" s="140"/>
      <c r="W406" s="140"/>
      <c r="X406" s="140"/>
      <c r="Y406" s="140"/>
      <c r="Z406" s="140"/>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1:91">
      <c r="A407" s="147"/>
      <c r="B407" s="147"/>
      <c r="C407" s="147"/>
      <c r="D407" s="147"/>
      <c r="E407" s="147"/>
      <c r="F407" s="147"/>
      <c r="G407" s="147"/>
      <c r="H407" s="147"/>
      <c r="I407" s="147"/>
      <c r="J407" s="147"/>
      <c r="K407" s="140"/>
      <c r="L407" s="140"/>
      <c r="M407" s="140"/>
      <c r="N407" s="140"/>
      <c r="O407" s="141"/>
      <c r="P407" s="140"/>
      <c r="Q407" s="140"/>
      <c r="R407" s="140"/>
      <c r="S407" s="140"/>
      <c r="T407" s="140"/>
      <c r="U407" s="140"/>
      <c r="V407" s="140"/>
      <c r="W407" s="140"/>
      <c r="X407" s="140"/>
      <c r="Y407" s="140"/>
      <c r="Z407" s="140"/>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1:91">
      <c r="A408" s="147"/>
      <c r="B408" s="147"/>
      <c r="C408" s="147"/>
      <c r="D408" s="147"/>
      <c r="E408" s="147"/>
      <c r="F408" s="147"/>
      <c r="G408" s="147"/>
      <c r="H408" s="147"/>
      <c r="I408" s="147"/>
      <c r="J408" s="147"/>
      <c r="K408" s="140"/>
      <c r="L408" s="140"/>
      <c r="M408" s="140"/>
      <c r="N408" s="140"/>
      <c r="O408" s="141"/>
      <c r="P408" s="140"/>
      <c r="Q408" s="140"/>
      <c r="R408" s="140"/>
      <c r="S408" s="140"/>
      <c r="T408" s="140"/>
      <c r="U408" s="140"/>
      <c r="V408" s="140"/>
      <c r="W408" s="140"/>
      <c r="X408" s="140"/>
      <c r="Y408" s="140"/>
      <c r="Z408" s="140"/>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1:91">
      <c r="A409" s="147"/>
      <c r="B409" s="147"/>
      <c r="C409" s="147"/>
      <c r="D409" s="147"/>
      <c r="E409" s="147"/>
      <c r="F409" s="147"/>
      <c r="G409" s="147"/>
      <c r="H409" s="147"/>
      <c r="I409" s="147"/>
      <c r="J409" s="147"/>
      <c r="K409" s="140"/>
      <c r="L409" s="140"/>
      <c r="M409" s="140"/>
      <c r="N409" s="140"/>
      <c r="O409" s="141"/>
      <c r="P409" s="140"/>
      <c r="Q409" s="140"/>
      <c r="R409" s="140"/>
      <c r="S409" s="140"/>
      <c r="T409" s="140"/>
      <c r="U409" s="140"/>
      <c r="V409" s="140"/>
      <c r="W409" s="140"/>
      <c r="X409" s="140"/>
      <c r="Y409" s="140"/>
      <c r="Z409" s="140"/>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1:91">
      <c r="A410" s="147"/>
      <c r="B410" s="147"/>
      <c r="C410" s="147"/>
      <c r="D410" s="147"/>
      <c r="E410" s="147"/>
      <c r="F410" s="147"/>
      <c r="G410" s="147"/>
      <c r="H410" s="147"/>
      <c r="I410" s="147"/>
      <c r="J410" s="147"/>
      <c r="K410" s="140"/>
      <c r="L410" s="140"/>
      <c r="M410" s="140"/>
      <c r="N410" s="140"/>
      <c r="O410" s="141"/>
      <c r="P410" s="140"/>
      <c r="Q410" s="140"/>
      <c r="R410" s="140"/>
      <c r="S410" s="140"/>
      <c r="T410" s="140"/>
      <c r="U410" s="140"/>
      <c r="V410" s="140"/>
      <c r="W410" s="140"/>
      <c r="X410" s="140"/>
      <c r="Y410" s="140"/>
      <c r="Z410" s="14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1:91">
      <c r="A411" s="147"/>
      <c r="B411" s="147"/>
      <c r="C411" s="147"/>
      <c r="D411" s="147"/>
      <c r="E411" s="147"/>
      <c r="F411" s="147"/>
      <c r="G411" s="147"/>
      <c r="H411" s="147"/>
      <c r="I411" s="147"/>
      <c r="J411" s="147"/>
      <c r="K411" s="140"/>
      <c r="L411" s="140"/>
      <c r="M411" s="140"/>
      <c r="N411" s="140"/>
      <c r="O411" s="141"/>
      <c r="P411" s="140"/>
      <c r="Q411" s="140"/>
      <c r="R411" s="140"/>
      <c r="S411" s="140"/>
      <c r="T411" s="140"/>
      <c r="U411" s="140"/>
      <c r="V411" s="140"/>
      <c r="W411" s="140"/>
      <c r="X411" s="140"/>
      <c r="Y411" s="140"/>
      <c r="Z411" s="140"/>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1:91">
      <c r="A412" s="147"/>
      <c r="B412" s="147"/>
      <c r="C412" s="147"/>
      <c r="D412" s="147"/>
      <c r="E412" s="147"/>
      <c r="F412" s="147"/>
      <c r="G412" s="147"/>
      <c r="H412" s="147"/>
      <c r="I412" s="147"/>
      <c r="J412" s="147"/>
      <c r="K412" s="140"/>
      <c r="L412" s="140"/>
      <c r="M412" s="140"/>
      <c r="N412" s="140"/>
      <c r="O412" s="141"/>
      <c r="P412" s="140"/>
      <c r="Q412" s="140"/>
      <c r="R412" s="140"/>
      <c r="S412" s="140"/>
      <c r="T412" s="140"/>
      <c r="U412" s="140"/>
      <c r="V412" s="140"/>
      <c r="W412" s="140"/>
      <c r="X412" s="140"/>
      <c r="Y412" s="140"/>
      <c r="Z412" s="140"/>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1:91">
      <c r="A413" s="147"/>
      <c r="B413" s="147"/>
      <c r="C413" s="147"/>
      <c r="D413" s="147"/>
      <c r="E413" s="147"/>
      <c r="F413" s="147"/>
      <c r="G413" s="147"/>
      <c r="H413" s="147"/>
      <c r="I413" s="147"/>
      <c r="J413" s="147"/>
      <c r="K413" s="140"/>
      <c r="L413" s="140"/>
      <c r="M413" s="140"/>
      <c r="N413" s="140"/>
      <c r="O413" s="141"/>
      <c r="P413" s="140"/>
      <c r="Q413" s="140"/>
      <c r="R413" s="140"/>
      <c r="S413" s="140"/>
      <c r="T413" s="140"/>
      <c r="U413" s="140"/>
      <c r="V413" s="140"/>
      <c r="W413" s="140"/>
      <c r="X413" s="140"/>
      <c r="Y413" s="140"/>
      <c r="Z413" s="140"/>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1:91">
      <c r="A414" s="147"/>
      <c r="B414" s="147"/>
      <c r="C414" s="147"/>
      <c r="D414" s="147"/>
      <c r="E414" s="147"/>
      <c r="F414" s="147"/>
      <c r="G414" s="147"/>
      <c r="H414" s="147"/>
      <c r="I414" s="147"/>
      <c r="J414" s="147"/>
      <c r="K414" s="140"/>
      <c r="L414" s="140"/>
      <c r="M414" s="140"/>
      <c r="N414" s="140"/>
      <c r="O414" s="141"/>
      <c r="P414" s="140"/>
      <c r="Q414" s="140"/>
      <c r="R414" s="140"/>
      <c r="S414" s="140"/>
      <c r="T414" s="140"/>
      <c r="U414" s="140"/>
      <c r="V414" s="140"/>
      <c r="W414" s="140"/>
      <c r="X414" s="140"/>
      <c r="Y414" s="140"/>
      <c r="Z414" s="140"/>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1:91">
      <c r="A415" s="147"/>
      <c r="B415" s="147"/>
      <c r="C415" s="147"/>
      <c r="D415" s="147"/>
      <c r="E415" s="147"/>
      <c r="F415" s="147"/>
      <c r="G415" s="147"/>
      <c r="H415" s="147"/>
      <c r="I415" s="147"/>
      <c r="J415" s="147"/>
      <c r="K415" s="140"/>
      <c r="L415" s="140"/>
      <c r="M415" s="140"/>
      <c r="N415" s="140"/>
      <c r="O415" s="141"/>
      <c r="P415" s="140"/>
      <c r="Q415" s="140"/>
      <c r="R415" s="140"/>
      <c r="S415" s="140"/>
      <c r="T415" s="140"/>
      <c r="U415" s="140"/>
      <c r="V415" s="140"/>
      <c r="W415" s="140"/>
      <c r="X415" s="140"/>
      <c r="Y415" s="140"/>
      <c r="Z415" s="140"/>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1:91">
      <c r="A416" s="147"/>
      <c r="B416" s="147"/>
      <c r="C416" s="147"/>
      <c r="D416" s="147"/>
      <c r="E416" s="147"/>
      <c r="F416" s="147"/>
      <c r="G416" s="147"/>
      <c r="H416" s="147"/>
      <c r="I416" s="147"/>
      <c r="J416" s="147"/>
      <c r="K416" s="140"/>
      <c r="L416" s="140"/>
      <c r="M416" s="140"/>
      <c r="N416" s="140"/>
      <c r="O416" s="141"/>
      <c r="P416" s="140"/>
      <c r="Q416" s="140"/>
      <c r="R416" s="140"/>
      <c r="S416" s="140"/>
      <c r="T416" s="140"/>
      <c r="U416" s="140"/>
      <c r="V416" s="140"/>
      <c r="W416" s="140"/>
      <c r="X416" s="140"/>
      <c r="Y416" s="140"/>
      <c r="Z416" s="140"/>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1:91">
      <c r="A417" s="147"/>
      <c r="B417" s="147"/>
      <c r="C417" s="147"/>
      <c r="D417" s="147"/>
      <c r="E417" s="147"/>
      <c r="F417" s="147"/>
      <c r="G417" s="147"/>
      <c r="H417" s="147"/>
      <c r="I417" s="147"/>
      <c r="J417" s="147"/>
      <c r="K417" s="140"/>
      <c r="L417" s="140"/>
      <c r="M417" s="140"/>
      <c r="N417" s="140"/>
      <c r="O417" s="141"/>
      <c r="P417" s="140"/>
      <c r="Q417" s="140"/>
      <c r="R417" s="140"/>
      <c r="S417" s="140"/>
      <c r="T417" s="140"/>
      <c r="U417" s="140"/>
      <c r="V417" s="140"/>
      <c r="W417" s="140"/>
      <c r="X417" s="140"/>
      <c r="Y417" s="140"/>
      <c r="Z417" s="140"/>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1:91">
      <c r="A418" s="147"/>
      <c r="B418" s="147"/>
      <c r="C418" s="147"/>
      <c r="D418" s="147"/>
      <c r="E418" s="147"/>
      <c r="F418" s="147"/>
      <c r="G418" s="147"/>
      <c r="H418" s="147"/>
      <c r="I418" s="147"/>
      <c r="J418" s="147"/>
      <c r="K418" s="140"/>
      <c r="L418" s="140"/>
      <c r="M418" s="140"/>
      <c r="N418" s="140"/>
      <c r="O418" s="141"/>
      <c r="P418" s="140"/>
      <c r="Q418" s="140"/>
      <c r="R418" s="140"/>
      <c r="S418" s="140"/>
      <c r="T418" s="140"/>
      <c r="U418" s="140"/>
      <c r="V418" s="140"/>
      <c r="W418" s="140"/>
      <c r="X418" s="140"/>
      <c r="Y418" s="140"/>
      <c r="Z418" s="140"/>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1:91">
      <c r="A419" s="147"/>
      <c r="B419" s="147"/>
      <c r="C419" s="147"/>
      <c r="D419" s="147"/>
      <c r="E419" s="147"/>
      <c r="F419" s="147"/>
      <c r="G419" s="147"/>
      <c r="H419" s="147"/>
      <c r="I419" s="147"/>
      <c r="J419" s="147"/>
      <c r="K419" s="140"/>
      <c r="L419" s="140"/>
      <c r="M419" s="140"/>
      <c r="N419" s="140"/>
      <c r="O419" s="141"/>
      <c r="P419" s="140"/>
      <c r="Q419" s="140"/>
      <c r="R419" s="140"/>
      <c r="S419" s="140"/>
      <c r="T419" s="140"/>
      <c r="U419" s="140"/>
      <c r="V419" s="140"/>
      <c r="W419" s="140"/>
      <c r="X419" s="140"/>
      <c r="Y419" s="140"/>
      <c r="Z419" s="140"/>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1:91">
      <c r="A420" s="147"/>
      <c r="B420" s="147"/>
      <c r="C420" s="147"/>
      <c r="D420" s="147"/>
      <c r="E420" s="147"/>
      <c r="F420" s="147"/>
      <c r="G420" s="147"/>
      <c r="H420" s="147"/>
      <c r="I420" s="147"/>
      <c r="J420" s="147"/>
      <c r="K420" s="140"/>
      <c r="L420" s="140"/>
      <c r="M420" s="140"/>
      <c r="N420" s="140"/>
      <c r="O420" s="141"/>
      <c r="P420" s="140"/>
      <c r="Q420" s="140"/>
      <c r="R420" s="140"/>
      <c r="S420" s="140"/>
      <c r="T420" s="140"/>
      <c r="U420" s="140"/>
      <c r="V420" s="140"/>
      <c r="W420" s="140"/>
      <c r="X420" s="140"/>
      <c r="Y420" s="140"/>
      <c r="Z420" s="14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1:91">
      <c r="A421" s="147"/>
      <c r="B421" s="147"/>
      <c r="C421" s="147"/>
      <c r="D421" s="147"/>
      <c r="E421" s="147"/>
      <c r="F421" s="147"/>
      <c r="G421" s="147"/>
      <c r="H421" s="147"/>
      <c r="I421" s="147"/>
      <c r="J421" s="147"/>
      <c r="K421" s="140"/>
      <c r="L421" s="140"/>
      <c r="M421" s="140"/>
      <c r="N421" s="140"/>
      <c r="O421" s="141"/>
      <c r="P421" s="140"/>
      <c r="Q421" s="140"/>
      <c r="R421" s="140"/>
      <c r="S421" s="140"/>
      <c r="T421" s="140"/>
      <c r="U421" s="140"/>
      <c r="V421" s="140"/>
      <c r="W421" s="140"/>
      <c r="X421" s="140"/>
      <c r="Y421" s="140"/>
      <c r="Z421" s="140"/>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1:91">
      <c r="A422" s="147"/>
      <c r="B422" s="147"/>
      <c r="C422" s="147"/>
      <c r="D422" s="147"/>
      <c r="E422" s="147"/>
      <c r="F422" s="147"/>
      <c r="G422" s="147"/>
      <c r="H422" s="147"/>
      <c r="I422" s="147"/>
      <c r="J422" s="147"/>
      <c r="K422" s="140"/>
      <c r="L422" s="140"/>
      <c r="M422" s="140"/>
      <c r="N422" s="140"/>
      <c r="O422" s="141"/>
      <c r="P422" s="140"/>
      <c r="Q422" s="140"/>
      <c r="R422" s="140"/>
      <c r="S422" s="140"/>
      <c r="T422" s="140"/>
      <c r="U422" s="140"/>
      <c r="V422" s="140"/>
      <c r="W422" s="140"/>
      <c r="X422" s="140"/>
      <c r="Y422" s="140"/>
      <c r="Z422" s="140"/>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1:91">
      <c r="A423" s="147"/>
      <c r="B423" s="147"/>
      <c r="C423" s="147"/>
      <c r="D423" s="147"/>
      <c r="E423" s="147"/>
      <c r="F423" s="147"/>
      <c r="G423" s="147"/>
      <c r="H423" s="147"/>
      <c r="I423" s="147"/>
      <c r="J423" s="147"/>
      <c r="K423" s="140"/>
      <c r="L423" s="140"/>
      <c r="M423" s="140"/>
      <c r="N423" s="140"/>
      <c r="O423" s="141"/>
      <c r="P423" s="140"/>
      <c r="Q423" s="140"/>
      <c r="R423" s="140"/>
      <c r="S423" s="140"/>
      <c r="T423" s="140"/>
      <c r="U423" s="140"/>
      <c r="V423" s="140"/>
      <c r="W423" s="140"/>
      <c r="X423" s="140"/>
      <c r="Y423" s="140"/>
      <c r="Z423" s="140"/>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1:91">
      <c r="A424" s="147"/>
      <c r="B424" s="147"/>
      <c r="C424" s="147"/>
      <c r="D424" s="147"/>
      <c r="E424" s="147"/>
      <c r="F424" s="147"/>
      <c r="G424" s="147"/>
      <c r="H424" s="147"/>
      <c r="I424" s="147"/>
      <c r="J424" s="147"/>
      <c r="K424" s="140"/>
      <c r="L424" s="140"/>
      <c r="M424" s="140"/>
      <c r="N424" s="140"/>
      <c r="O424" s="141"/>
      <c r="P424" s="140"/>
      <c r="Q424" s="140"/>
      <c r="R424" s="140"/>
      <c r="S424" s="140"/>
      <c r="T424" s="140"/>
      <c r="U424" s="140"/>
      <c r="V424" s="140"/>
      <c r="W424" s="140"/>
      <c r="X424" s="140"/>
      <c r="Y424" s="140"/>
      <c r="Z424" s="140"/>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1:91">
      <c r="A425" s="147"/>
      <c r="B425" s="147"/>
      <c r="C425" s="147"/>
      <c r="D425" s="147"/>
      <c r="E425" s="147"/>
      <c r="F425" s="147"/>
      <c r="G425" s="147"/>
      <c r="H425" s="147"/>
      <c r="I425" s="147"/>
      <c r="J425" s="147"/>
      <c r="K425" s="140"/>
      <c r="L425" s="140"/>
      <c r="M425" s="140"/>
      <c r="N425" s="140"/>
      <c r="O425" s="141"/>
      <c r="P425" s="140"/>
      <c r="Q425" s="140"/>
      <c r="R425" s="140"/>
      <c r="S425" s="140"/>
      <c r="T425" s="140"/>
      <c r="U425" s="140"/>
      <c r="V425" s="140"/>
      <c r="W425" s="140"/>
      <c r="X425" s="140"/>
      <c r="Y425" s="140"/>
      <c r="Z425" s="140"/>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1:91">
      <c r="A426" s="147"/>
      <c r="B426" s="147"/>
      <c r="C426" s="147"/>
      <c r="D426" s="147"/>
      <c r="E426" s="147"/>
      <c r="F426" s="147"/>
      <c r="G426" s="147"/>
      <c r="H426" s="147"/>
      <c r="I426" s="147"/>
      <c r="J426" s="147"/>
      <c r="K426" s="140"/>
      <c r="L426" s="140"/>
      <c r="M426" s="140"/>
      <c r="N426" s="140"/>
      <c r="O426" s="141"/>
      <c r="P426" s="140"/>
      <c r="Q426" s="140"/>
      <c r="R426" s="140"/>
      <c r="S426" s="140"/>
      <c r="T426" s="140"/>
      <c r="U426" s="140"/>
      <c r="V426" s="140"/>
      <c r="W426" s="140"/>
      <c r="X426" s="140"/>
      <c r="Y426" s="140"/>
      <c r="Z426" s="140"/>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1:91">
      <c r="A427" s="147"/>
      <c r="B427" s="147"/>
      <c r="C427" s="147"/>
      <c r="D427" s="147"/>
      <c r="E427" s="147"/>
      <c r="F427" s="147"/>
      <c r="G427" s="147"/>
      <c r="H427" s="147"/>
      <c r="I427" s="147"/>
      <c r="J427" s="147"/>
      <c r="K427" s="140"/>
      <c r="L427" s="140"/>
      <c r="M427" s="140"/>
      <c r="N427" s="140"/>
      <c r="O427" s="141"/>
      <c r="P427" s="140"/>
      <c r="Q427" s="140"/>
      <c r="R427" s="140"/>
      <c r="S427" s="140"/>
      <c r="T427" s="140"/>
      <c r="U427" s="140"/>
      <c r="V427" s="140"/>
      <c r="W427" s="140"/>
      <c r="X427" s="140"/>
      <c r="Y427" s="140"/>
      <c r="Z427" s="140"/>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1:91">
      <c r="A428" s="147"/>
      <c r="B428" s="147"/>
      <c r="C428" s="147"/>
      <c r="D428" s="147"/>
      <c r="E428" s="147"/>
      <c r="F428" s="147"/>
      <c r="G428" s="147"/>
      <c r="H428" s="147"/>
      <c r="I428" s="147"/>
      <c r="J428" s="147"/>
      <c r="K428" s="140"/>
      <c r="L428" s="140"/>
      <c r="M428" s="140"/>
      <c r="N428" s="140"/>
      <c r="O428" s="141"/>
      <c r="P428" s="140"/>
      <c r="Q428" s="140"/>
      <c r="R428" s="140"/>
      <c r="S428" s="140"/>
      <c r="T428" s="140"/>
      <c r="U428" s="140"/>
      <c r="V428" s="140"/>
      <c r="W428" s="140"/>
      <c r="X428" s="140"/>
      <c r="Y428" s="140"/>
      <c r="Z428" s="140"/>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1:91">
      <c r="A429" s="147"/>
      <c r="B429" s="147"/>
      <c r="C429" s="147"/>
      <c r="D429" s="147"/>
      <c r="E429" s="147"/>
      <c r="F429" s="147"/>
      <c r="G429" s="147"/>
      <c r="H429" s="147"/>
      <c r="I429" s="147"/>
      <c r="J429" s="147"/>
      <c r="K429" s="140"/>
      <c r="L429" s="140"/>
      <c r="M429" s="140"/>
      <c r="N429" s="140"/>
      <c r="O429" s="141"/>
      <c r="P429" s="140"/>
      <c r="Q429" s="140"/>
      <c r="R429" s="140"/>
      <c r="S429" s="140"/>
      <c r="T429" s="140"/>
      <c r="U429" s="140"/>
      <c r="V429" s="140"/>
      <c r="W429" s="140"/>
      <c r="X429" s="140"/>
      <c r="Y429" s="140"/>
      <c r="Z429" s="140"/>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1:91">
      <c r="A430" s="147"/>
      <c r="B430" s="147"/>
      <c r="C430" s="147"/>
      <c r="D430" s="147"/>
      <c r="E430" s="147"/>
      <c r="F430" s="147"/>
      <c r="G430" s="147"/>
      <c r="H430" s="147"/>
      <c r="I430" s="147"/>
      <c r="J430" s="147"/>
      <c r="K430" s="140"/>
      <c r="L430" s="140"/>
      <c r="M430" s="140"/>
      <c r="N430" s="140"/>
      <c r="O430" s="141"/>
      <c r="P430" s="140"/>
      <c r="Q430" s="140"/>
      <c r="R430" s="140"/>
      <c r="S430" s="140"/>
      <c r="T430" s="140"/>
      <c r="U430" s="140"/>
      <c r="V430" s="140"/>
      <c r="W430" s="140"/>
      <c r="X430" s="140"/>
      <c r="Y430" s="140"/>
      <c r="Z430" s="14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1:91">
      <c r="A431" s="147"/>
      <c r="B431" s="147"/>
      <c r="C431" s="147"/>
      <c r="D431" s="147"/>
      <c r="E431" s="147"/>
      <c r="F431" s="147"/>
      <c r="G431" s="147"/>
      <c r="H431" s="147"/>
      <c r="I431" s="147"/>
      <c r="J431" s="147"/>
      <c r="K431" s="140"/>
      <c r="L431" s="140"/>
      <c r="M431" s="140"/>
      <c r="N431" s="140"/>
      <c r="O431" s="141"/>
      <c r="P431" s="140"/>
      <c r="Q431" s="140"/>
      <c r="R431" s="140"/>
      <c r="S431" s="140"/>
      <c r="T431" s="140"/>
      <c r="U431" s="140"/>
      <c r="V431" s="140"/>
      <c r="W431" s="140"/>
      <c r="X431" s="140"/>
      <c r="Y431" s="140"/>
      <c r="Z431" s="140"/>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1:91">
      <c r="A432" s="147"/>
      <c r="B432" s="147"/>
      <c r="C432" s="147"/>
      <c r="D432" s="147"/>
      <c r="E432" s="147"/>
      <c r="F432" s="147"/>
      <c r="G432" s="147"/>
      <c r="H432" s="147"/>
      <c r="I432" s="147"/>
      <c r="J432" s="147"/>
      <c r="K432" s="140"/>
      <c r="L432" s="140"/>
      <c r="M432" s="140"/>
      <c r="N432" s="140"/>
      <c r="O432" s="141"/>
      <c r="P432" s="140"/>
      <c r="Q432" s="140"/>
      <c r="R432" s="140"/>
      <c r="S432" s="140"/>
      <c r="T432" s="140"/>
      <c r="U432" s="140"/>
      <c r="V432" s="140"/>
      <c r="W432" s="140"/>
      <c r="X432" s="140"/>
      <c r="Y432" s="140"/>
      <c r="Z432" s="140"/>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1:91">
      <c r="A433" s="147"/>
      <c r="B433" s="147"/>
      <c r="C433" s="147"/>
      <c r="D433" s="147"/>
      <c r="E433" s="147"/>
      <c r="F433" s="147"/>
      <c r="G433" s="147"/>
      <c r="H433" s="147"/>
      <c r="I433" s="147"/>
      <c r="J433" s="147"/>
      <c r="K433" s="140"/>
      <c r="L433" s="140"/>
      <c r="M433" s="140"/>
      <c r="N433" s="140"/>
      <c r="O433" s="141"/>
      <c r="P433" s="140"/>
      <c r="Q433" s="140"/>
      <c r="R433" s="140"/>
      <c r="S433" s="140"/>
      <c r="T433" s="140"/>
      <c r="U433" s="140"/>
      <c r="V433" s="140"/>
      <c r="W433" s="140"/>
      <c r="X433" s="140"/>
      <c r="Y433" s="140"/>
      <c r="Z433" s="140"/>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1:91">
      <c r="A434" s="147"/>
      <c r="B434" s="147"/>
      <c r="C434" s="147"/>
      <c r="D434" s="147"/>
      <c r="E434" s="147"/>
      <c r="F434" s="147"/>
      <c r="G434" s="147"/>
      <c r="H434" s="147"/>
      <c r="I434" s="147"/>
      <c r="J434" s="147"/>
      <c r="K434" s="140"/>
      <c r="L434" s="140"/>
      <c r="M434" s="140"/>
      <c r="N434" s="140"/>
      <c r="O434" s="141"/>
      <c r="P434" s="140"/>
      <c r="Q434" s="140"/>
      <c r="R434" s="140"/>
      <c r="S434" s="140"/>
      <c r="T434" s="140"/>
      <c r="U434" s="140"/>
      <c r="V434" s="140"/>
      <c r="W434" s="140"/>
      <c r="X434" s="140"/>
      <c r="Y434" s="140"/>
      <c r="Z434" s="140"/>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1:91">
      <c r="A435" s="147"/>
      <c r="B435" s="147"/>
      <c r="C435" s="147"/>
      <c r="D435" s="147"/>
      <c r="E435" s="147"/>
      <c r="F435" s="147"/>
      <c r="G435" s="147"/>
      <c r="H435" s="147"/>
      <c r="I435" s="147"/>
      <c r="J435" s="147"/>
      <c r="K435" s="140"/>
      <c r="L435" s="140"/>
      <c r="M435" s="140"/>
      <c r="N435" s="140"/>
      <c r="O435" s="141"/>
      <c r="P435" s="140"/>
      <c r="Q435" s="140"/>
      <c r="R435" s="140"/>
      <c r="S435" s="140"/>
      <c r="T435" s="140"/>
      <c r="U435" s="140"/>
      <c r="V435" s="140"/>
      <c r="W435" s="140"/>
      <c r="X435" s="140"/>
      <c r="Y435" s="140"/>
      <c r="Z435" s="140"/>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1:91">
      <c r="A436" s="147"/>
      <c r="B436" s="147"/>
      <c r="C436" s="147"/>
      <c r="D436" s="147"/>
      <c r="E436" s="147"/>
      <c r="F436" s="147"/>
      <c r="G436" s="147"/>
      <c r="H436" s="147"/>
      <c r="I436" s="147"/>
      <c r="J436" s="147"/>
      <c r="K436" s="140"/>
      <c r="L436" s="140"/>
      <c r="M436" s="140"/>
      <c r="N436" s="140"/>
      <c r="O436" s="141"/>
      <c r="P436" s="140"/>
      <c r="Q436" s="140"/>
      <c r="R436" s="140"/>
      <c r="S436" s="140"/>
      <c r="T436" s="140"/>
      <c r="U436" s="140"/>
      <c r="V436" s="140"/>
      <c r="W436" s="140"/>
      <c r="X436" s="140"/>
      <c r="Y436" s="140"/>
      <c r="Z436" s="140"/>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1:91">
      <c r="A437" s="147"/>
      <c r="B437" s="147"/>
      <c r="C437" s="147"/>
      <c r="D437" s="147"/>
      <c r="E437" s="147"/>
      <c r="F437" s="147"/>
      <c r="G437" s="147"/>
      <c r="H437" s="147"/>
      <c r="I437" s="147"/>
      <c r="J437" s="147"/>
      <c r="K437" s="140"/>
      <c r="L437" s="140"/>
      <c r="M437" s="140"/>
      <c r="N437" s="140"/>
      <c r="O437" s="141"/>
      <c r="P437" s="140"/>
      <c r="Q437" s="140"/>
      <c r="R437" s="140"/>
      <c r="S437" s="140"/>
      <c r="T437" s="140"/>
      <c r="U437" s="140"/>
      <c r="V437" s="140"/>
      <c r="W437" s="140"/>
      <c r="X437" s="140"/>
      <c r="Y437" s="140"/>
      <c r="Z437" s="140"/>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1:91">
      <c r="A438" s="147"/>
      <c r="B438" s="147"/>
      <c r="C438" s="147"/>
      <c r="D438" s="147"/>
      <c r="E438" s="147"/>
      <c r="F438" s="147"/>
      <c r="G438" s="147"/>
      <c r="H438" s="147"/>
      <c r="I438" s="147"/>
      <c r="J438" s="147"/>
      <c r="K438" s="140"/>
      <c r="L438" s="140"/>
      <c r="M438" s="140"/>
      <c r="N438" s="140"/>
      <c r="O438" s="141"/>
      <c r="P438" s="140"/>
      <c r="Q438" s="140"/>
      <c r="R438" s="140"/>
      <c r="S438" s="140"/>
      <c r="T438" s="140"/>
      <c r="U438" s="140"/>
      <c r="V438" s="140"/>
      <c r="W438" s="140"/>
      <c r="X438" s="140"/>
      <c r="Y438" s="140"/>
      <c r="Z438" s="140"/>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1:91">
      <c r="A439" s="147"/>
      <c r="B439" s="147"/>
      <c r="C439" s="147"/>
      <c r="D439" s="147"/>
      <c r="E439" s="147"/>
      <c r="F439" s="147"/>
      <c r="G439" s="147"/>
      <c r="H439" s="147"/>
      <c r="I439" s="147"/>
      <c r="J439" s="147"/>
      <c r="K439" s="140"/>
      <c r="L439" s="140"/>
      <c r="M439" s="140"/>
      <c r="N439" s="140"/>
      <c r="O439" s="141"/>
      <c r="P439" s="140"/>
      <c r="Q439" s="140"/>
      <c r="R439" s="140"/>
      <c r="S439" s="140"/>
      <c r="T439" s="140"/>
      <c r="U439" s="140"/>
      <c r="V439" s="140"/>
      <c r="W439" s="140"/>
      <c r="X439" s="140"/>
      <c r="Y439" s="140"/>
      <c r="Z439" s="140"/>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1:91">
      <c r="A440" s="147"/>
      <c r="B440" s="147"/>
      <c r="C440" s="147"/>
      <c r="D440" s="147"/>
      <c r="E440" s="147"/>
      <c r="F440" s="147"/>
      <c r="G440" s="147"/>
      <c r="H440" s="147"/>
      <c r="I440" s="147"/>
      <c r="J440" s="147"/>
      <c r="K440" s="140"/>
      <c r="L440" s="140"/>
      <c r="M440" s="140"/>
      <c r="N440" s="140"/>
      <c r="O440" s="141"/>
      <c r="P440" s="140"/>
      <c r="Q440" s="140"/>
      <c r="R440" s="140"/>
      <c r="S440" s="140"/>
      <c r="T440" s="140"/>
      <c r="U440" s="140"/>
      <c r="V440" s="140"/>
      <c r="W440" s="140"/>
      <c r="X440" s="140"/>
      <c r="Y440" s="140"/>
      <c r="Z440" s="1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1:91">
      <c r="A441" s="147"/>
      <c r="B441" s="147"/>
      <c r="C441" s="147"/>
      <c r="D441" s="147"/>
      <c r="E441" s="147"/>
      <c r="F441" s="147"/>
      <c r="G441" s="147"/>
      <c r="H441" s="147"/>
      <c r="I441" s="147"/>
      <c r="J441" s="147"/>
      <c r="K441" s="140"/>
      <c r="L441" s="140"/>
      <c r="M441" s="140"/>
      <c r="N441" s="140"/>
      <c r="O441" s="141"/>
      <c r="P441" s="140"/>
      <c r="Q441" s="140"/>
      <c r="R441" s="140"/>
      <c r="S441" s="140"/>
      <c r="T441" s="140"/>
      <c r="U441" s="140"/>
      <c r="V441" s="140"/>
      <c r="W441" s="140"/>
      <c r="X441" s="140"/>
      <c r="Y441" s="140"/>
      <c r="Z441" s="140"/>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1:91">
      <c r="A442" s="147"/>
      <c r="B442" s="147"/>
      <c r="C442" s="147"/>
      <c r="D442" s="147"/>
      <c r="E442" s="147"/>
      <c r="F442" s="147"/>
      <c r="G442" s="147"/>
      <c r="H442" s="147"/>
      <c r="I442" s="147"/>
      <c r="J442" s="147"/>
      <c r="K442" s="140"/>
      <c r="L442" s="140"/>
      <c r="M442" s="140"/>
      <c r="N442" s="140"/>
      <c r="O442" s="141"/>
      <c r="P442" s="140"/>
      <c r="Q442" s="140"/>
      <c r="R442" s="140"/>
      <c r="S442" s="140"/>
      <c r="T442" s="140"/>
      <c r="U442" s="140"/>
      <c r="V442" s="140"/>
      <c r="W442" s="140"/>
      <c r="X442" s="140"/>
      <c r="Y442" s="140"/>
      <c r="Z442" s="140"/>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1:91">
      <c r="A443" s="147"/>
      <c r="B443" s="147"/>
      <c r="C443" s="147"/>
      <c r="D443" s="147"/>
      <c r="E443" s="147"/>
      <c r="F443" s="147"/>
      <c r="G443" s="147"/>
      <c r="H443" s="147"/>
      <c r="I443" s="147"/>
      <c r="J443" s="147"/>
      <c r="K443" s="140"/>
      <c r="L443" s="140"/>
      <c r="M443" s="140"/>
      <c r="N443" s="140"/>
      <c r="O443" s="141"/>
      <c r="P443" s="140"/>
      <c r="Q443" s="140"/>
      <c r="R443" s="140"/>
      <c r="S443" s="140"/>
      <c r="T443" s="140"/>
      <c r="U443" s="140"/>
      <c r="V443" s="140"/>
      <c r="W443" s="140"/>
      <c r="X443" s="140"/>
      <c r="Y443" s="140"/>
      <c r="Z443" s="140"/>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1:91">
      <c r="A444" s="147"/>
      <c r="B444" s="147"/>
      <c r="C444" s="147"/>
      <c r="D444" s="147"/>
      <c r="E444" s="147"/>
      <c r="F444" s="147"/>
      <c r="G444" s="147"/>
      <c r="H444" s="147"/>
      <c r="I444" s="147"/>
      <c r="J444" s="147"/>
      <c r="K444" s="140"/>
      <c r="L444" s="140"/>
      <c r="M444" s="140"/>
      <c r="N444" s="140"/>
      <c r="O444" s="141"/>
      <c r="P444" s="140"/>
      <c r="Q444" s="140"/>
      <c r="R444" s="140"/>
      <c r="S444" s="140"/>
      <c r="T444" s="140"/>
      <c r="U444" s="140"/>
      <c r="V444" s="140"/>
      <c r="W444" s="140"/>
      <c r="X444" s="140"/>
      <c r="Y444" s="140"/>
      <c r="Z444" s="140"/>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1:91">
      <c r="A445" s="147"/>
      <c r="B445" s="147"/>
      <c r="C445" s="147"/>
      <c r="D445" s="147"/>
      <c r="E445" s="147"/>
      <c r="F445" s="147"/>
      <c r="G445" s="147"/>
      <c r="H445" s="147"/>
      <c r="I445" s="147"/>
      <c r="J445" s="147"/>
      <c r="K445" s="140"/>
      <c r="L445" s="140"/>
      <c r="M445" s="140"/>
      <c r="N445" s="140"/>
      <c r="O445" s="141"/>
      <c r="P445" s="140"/>
      <c r="Q445" s="140"/>
      <c r="R445" s="140"/>
      <c r="S445" s="140"/>
      <c r="T445" s="140"/>
      <c r="U445" s="140"/>
      <c r="V445" s="140"/>
      <c r="W445" s="140"/>
      <c r="X445" s="140"/>
      <c r="Y445" s="140"/>
      <c r="Z445" s="140"/>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1:91">
      <c r="A446" s="147"/>
      <c r="B446" s="147"/>
      <c r="C446" s="147"/>
      <c r="D446" s="147"/>
      <c r="E446" s="147"/>
      <c r="F446" s="147"/>
      <c r="G446" s="147"/>
      <c r="H446" s="147"/>
      <c r="I446" s="147"/>
      <c r="J446" s="147"/>
      <c r="K446" s="140"/>
      <c r="L446" s="140"/>
      <c r="M446" s="140"/>
      <c r="N446" s="140"/>
      <c r="O446" s="141"/>
      <c r="P446" s="140"/>
      <c r="Q446" s="140"/>
      <c r="R446" s="140"/>
      <c r="S446" s="140"/>
      <c r="T446" s="140"/>
      <c r="U446" s="140"/>
      <c r="V446" s="140"/>
      <c r="W446" s="140"/>
      <c r="X446" s="140"/>
      <c r="Y446" s="140"/>
      <c r="Z446" s="140"/>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1:91">
      <c r="A447" s="147"/>
      <c r="B447" s="147"/>
      <c r="C447" s="147"/>
      <c r="D447" s="147"/>
      <c r="E447" s="147"/>
      <c r="F447" s="147"/>
      <c r="G447" s="147"/>
      <c r="H447" s="147"/>
      <c r="I447" s="147"/>
      <c r="J447" s="147"/>
      <c r="K447" s="140"/>
      <c r="L447" s="140"/>
      <c r="M447" s="140"/>
      <c r="N447" s="140"/>
      <c r="O447" s="141"/>
      <c r="P447" s="140"/>
      <c r="Q447" s="140"/>
      <c r="R447" s="140"/>
      <c r="S447" s="140"/>
      <c r="T447" s="140"/>
      <c r="U447" s="140"/>
      <c r="V447" s="140"/>
      <c r="W447" s="140"/>
      <c r="X447" s="140"/>
      <c r="Y447" s="140"/>
      <c r="Z447" s="140"/>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1:91">
      <c r="A448" s="147"/>
      <c r="B448" s="147"/>
      <c r="C448" s="147"/>
      <c r="D448" s="147"/>
      <c r="E448" s="147"/>
      <c r="F448" s="147"/>
      <c r="G448" s="147"/>
      <c r="H448" s="147"/>
      <c r="I448" s="147"/>
      <c r="J448" s="147"/>
      <c r="K448" s="140"/>
      <c r="L448" s="140"/>
      <c r="M448" s="140"/>
      <c r="N448" s="140"/>
      <c r="O448" s="141"/>
      <c r="P448" s="140"/>
      <c r="Q448" s="140"/>
      <c r="R448" s="140"/>
      <c r="S448" s="140"/>
      <c r="T448" s="140"/>
      <c r="U448" s="140"/>
      <c r="V448" s="140"/>
      <c r="W448" s="140"/>
      <c r="X448" s="140"/>
      <c r="Y448" s="140"/>
      <c r="Z448" s="140"/>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1:91">
      <c r="A449" s="147"/>
      <c r="B449" s="147"/>
      <c r="C449" s="147"/>
      <c r="D449" s="147"/>
      <c r="E449" s="147"/>
      <c r="F449" s="147"/>
      <c r="G449" s="147"/>
      <c r="H449" s="147"/>
      <c r="I449" s="147"/>
      <c r="J449" s="147"/>
      <c r="K449" s="140"/>
      <c r="L449" s="140"/>
      <c r="M449" s="140"/>
      <c r="N449" s="140"/>
      <c r="O449" s="141"/>
      <c r="P449" s="140"/>
      <c r="Q449" s="140"/>
      <c r="R449" s="140"/>
      <c r="S449" s="140"/>
      <c r="T449" s="140"/>
      <c r="U449" s="140"/>
      <c r="V449" s="140"/>
      <c r="W449" s="140"/>
      <c r="X449" s="140"/>
      <c r="Y449" s="140"/>
      <c r="Z449" s="140"/>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1:91">
      <c r="A450" s="147"/>
      <c r="B450" s="147"/>
      <c r="C450" s="147"/>
      <c r="D450" s="147"/>
      <c r="E450" s="147"/>
      <c r="F450" s="147"/>
      <c r="G450" s="147"/>
      <c r="H450" s="147"/>
      <c r="I450" s="147"/>
      <c r="J450" s="147"/>
      <c r="K450" s="140"/>
      <c r="L450" s="140"/>
      <c r="M450" s="140"/>
      <c r="N450" s="140"/>
      <c r="O450" s="141"/>
      <c r="P450" s="140"/>
      <c r="Q450" s="140"/>
      <c r="R450" s="140"/>
      <c r="S450" s="140"/>
      <c r="T450" s="140"/>
      <c r="U450" s="140"/>
      <c r="V450" s="140"/>
      <c r="W450" s="140"/>
      <c r="X450" s="140"/>
      <c r="Y450" s="140"/>
      <c r="Z450" s="14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1:91">
      <c r="A451" s="147"/>
      <c r="B451" s="147"/>
      <c r="C451" s="147"/>
      <c r="D451" s="147"/>
      <c r="E451" s="147"/>
      <c r="F451" s="147"/>
      <c r="G451" s="147"/>
      <c r="H451" s="147"/>
      <c r="I451" s="147"/>
      <c r="J451" s="147"/>
      <c r="K451" s="140"/>
      <c r="L451" s="140"/>
      <c r="M451" s="140"/>
      <c r="N451" s="140"/>
      <c r="O451" s="141"/>
      <c r="P451" s="140"/>
      <c r="Q451" s="140"/>
      <c r="R451" s="140"/>
      <c r="S451" s="140"/>
      <c r="T451" s="140"/>
      <c r="U451" s="140"/>
      <c r="V451" s="140"/>
      <c r="W451" s="140"/>
      <c r="X451" s="140"/>
      <c r="Y451" s="140"/>
      <c r="Z451" s="140"/>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1:91">
      <c r="A452" s="147"/>
      <c r="B452" s="147"/>
      <c r="C452" s="147"/>
      <c r="D452" s="147"/>
      <c r="E452" s="147"/>
      <c r="F452" s="147"/>
      <c r="G452" s="147"/>
      <c r="H452" s="147"/>
      <c r="I452" s="147"/>
      <c r="J452" s="147"/>
      <c r="K452" s="140"/>
      <c r="L452" s="140"/>
      <c r="M452" s="140"/>
      <c r="N452" s="140"/>
      <c r="O452" s="141"/>
      <c r="P452" s="140"/>
      <c r="Q452" s="140"/>
      <c r="R452" s="140"/>
      <c r="S452" s="140"/>
      <c r="T452" s="140"/>
      <c r="U452" s="140"/>
      <c r="V452" s="140"/>
      <c r="W452" s="140"/>
      <c r="X452" s="140"/>
      <c r="Y452" s="140"/>
      <c r="Z452" s="140"/>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1:91">
      <c r="A453" s="147"/>
      <c r="B453" s="147"/>
      <c r="C453" s="147"/>
      <c r="D453" s="147"/>
      <c r="E453" s="147"/>
      <c r="F453" s="147"/>
      <c r="G453" s="147"/>
      <c r="H453" s="147"/>
      <c r="I453" s="147"/>
      <c r="J453" s="147"/>
      <c r="K453" s="140"/>
      <c r="L453" s="140"/>
      <c r="M453" s="140"/>
      <c r="N453" s="140"/>
      <c r="O453" s="141"/>
      <c r="P453" s="140"/>
      <c r="Q453" s="140"/>
      <c r="R453" s="140"/>
      <c r="S453" s="140"/>
      <c r="T453" s="140"/>
      <c r="U453" s="140"/>
      <c r="V453" s="140"/>
      <c r="W453" s="140"/>
      <c r="X453" s="140"/>
      <c r="Y453" s="140"/>
      <c r="Z453" s="140"/>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1:91">
      <c r="A454" s="147"/>
      <c r="B454" s="147"/>
      <c r="C454" s="147"/>
      <c r="D454" s="147"/>
      <c r="E454" s="147"/>
      <c r="F454" s="147"/>
      <c r="G454" s="147"/>
      <c r="H454" s="147"/>
      <c r="I454" s="147"/>
      <c r="J454" s="147"/>
      <c r="K454" s="140"/>
      <c r="L454" s="140"/>
      <c r="M454" s="140"/>
      <c r="N454" s="140"/>
      <c r="O454" s="141"/>
      <c r="P454" s="140"/>
      <c r="Q454" s="140"/>
      <c r="R454" s="140"/>
      <c r="S454" s="140"/>
      <c r="T454" s="140"/>
      <c r="U454" s="140"/>
      <c r="V454" s="140"/>
      <c r="W454" s="140"/>
      <c r="X454" s="140"/>
      <c r="Y454" s="140"/>
      <c r="Z454" s="140"/>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1:91">
      <c r="A455" s="147"/>
      <c r="B455" s="147"/>
      <c r="C455" s="147"/>
      <c r="D455" s="147"/>
      <c r="E455" s="147"/>
      <c r="F455" s="147"/>
      <c r="G455" s="147"/>
      <c r="H455" s="147"/>
      <c r="I455" s="147"/>
      <c r="J455" s="147"/>
      <c r="K455" s="140"/>
      <c r="L455" s="140"/>
      <c r="M455" s="140"/>
      <c r="N455" s="140"/>
      <c r="O455" s="141"/>
      <c r="P455" s="140"/>
      <c r="Q455" s="140"/>
      <c r="R455" s="140"/>
      <c r="S455" s="140"/>
      <c r="T455" s="140"/>
      <c r="U455" s="140"/>
      <c r="V455" s="140"/>
      <c r="W455" s="140"/>
      <c r="X455" s="140"/>
      <c r="Y455" s="140"/>
      <c r="Z455" s="140"/>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1:91">
      <c r="A456" s="147"/>
      <c r="B456" s="147"/>
      <c r="C456" s="147"/>
      <c r="D456" s="147"/>
      <c r="E456" s="147"/>
      <c r="F456" s="147"/>
      <c r="G456" s="147"/>
      <c r="H456" s="147"/>
      <c r="I456" s="147"/>
      <c r="J456" s="147"/>
      <c r="K456" s="140"/>
      <c r="L456" s="140"/>
      <c r="M456" s="140"/>
      <c r="N456" s="140"/>
      <c r="O456" s="141"/>
      <c r="P456" s="140"/>
      <c r="Q456" s="140"/>
      <c r="R456" s="140"/>
      <c r="S456" s="140"/>
      <c r="T456" s="140"/>
      <c r="U456" s="140"/>
      <c r="V456" s="140"/>
      <c r="W456" s="140"/>
      <c r="X456" s="140"/>
      <c r="Y456" s="140"/>
      <c r="Z456" s="140"/>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1:91">
      <c r="A457" s="147"/>
      <c r="B457" s="147"/>
      <c r="C457" s="147"/>
      <c r="D457" s="147"/>
      <c r="E457" s="147"/>
      <c r="F457" s="147"/>
      <c r="G457" s="147"/>
      <c r="H457" s="147"/>
      <c r="I457" s="147"/>
      <c r="J457" s="147"/>
      <c r="K457" s="140"/>
      <c r="L457" s="140"/>
      <c r="M457" s="140"/>
      <c r="N457" s="140"/>
      <c r="O457" s="141"/>
      <c r="P457" s="140"/>
      <c r="Q457" s="140"/>
      <c r="R457" s="140"/>
      <c r="S457" s="140"/>
      <c r="T457" s="140"/>
      <c r="U457" s="140"/>
      <c r="V457" s="140"/>
      <c r="W457" s="140"/>
      <c r="X457" s="140"/>
      <c r="Y457" s="140"/>
      <c r="Z457" s="140"/>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1:91">
      <c r="A458" s="147"/>
      <c r="B458" s="147"/>
      <c r="C458" s="147"/>
      <c r="D458" s="147"/>
      <c r="E458" s="147"/>
      <c r="F458" s="147"/>
      <c r="G458" s="147"/>
      <c r="H458" s="147"/>
      <c r="I458" s="147"/>
      <c r="J458" s="147"/>
      <c r="K458" s="140"/>
      <c r="L458" s="140"/>
      <c r="M458" s="140"/>
      <c r="N458" s="140"/>
      <c r="O458" s="141"/>
      <c r="P458" s="140"/>
      <c r="Q458" s="140"/>
      <c r="R458" s="140"/>
      <c r="S458" s="140"/>
      <c r="T458" s="140"/>
      <c r="U458" s="140"/>
      <c r="V458" s="140"/>
      <c r="W458" s="140"/>
      <c r="X458" s="140"/>
      <c r="Y458" s="140"/>
      <c r="Z458" s="140"/>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1:91">
      <c r="A459" s="147"/>
      <c r="B459" s="147"/>
      <c r="C459" s="147"/>
      <c r="D459" s="147"/>
      <c r="E459" s="147"/>
      <c r="F459" s="147"/>
      <c r="G459" s="147"/>
      <c r="H459" s="147"/>
      <c r="I459" s="147"/>
      <c r="J459" s="147"/>
      <c r="K459" s="140"/>
      <c r="L459" s="140"/>
      <c r="M459" s="140"/>
      <c r="N459" s="140"/>
      <c r="O459" s="141"/>
      <c r="P459" s="140"/>
      <c r="Q459" s="140"/>
      <c r="R459" s="140"/>
      <c r="S459" s="140"/>
      <c r="T459" s="140"/>
      <c r="U459" s="140"/>
      <c r="V459" s="140"/>
      <c r="W459" s="140"/>
      <c r="X459" s="140"/>
      <c r="Y459" s="140"/>
      <c r="Z459" s="140"/>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1:91">
      <c r="A460" s="147"/>
      <c r="B460" s="147"/>
      <c r="C460" s="147"/>
      <c r="D460" s="147"/>
      <c r="E460" s="147"/>
      <c r="F460" s="147"/>
      <c r="G460" s="147"/>
      <c r="H460" s="147"/>
      <c r="I460" s="147"/>
      <c r="J460" s="147"/>
      <c r="K460" s="140"/>
      <c r="L460" s="140"/>
      <c r="M460" s="140"/>
      <c r="N460" s="140"/>
      <c r="O460" s="141"/>
      <c r="P460" s="140"/>
      <c r="Q460" s="140"/>
      <c r="R460" s="140"/>
      <c r="S460" s="140"/>
      <c r="T460" s="140"/>
      <c r="U460" s="140"/>
      <c r="V460" s="140"/>
      <c r="W460" s="140"/>
      <c r="X460" s="140"/>
      <c r="Y460" s="140"/>
      <c r="Z460" s="14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1:91">
      <c r="A461" s="147"/>
      <c r="B461" s="147"/>
      <c r="C461" s="147"/>
      <c r="D461" s="147"/>
      <c r="E461" s="147"/>
      <c r="F461" s="147"/>
      <c r="G461" s="147"/>
      <c r="H461" s="147"/>
      <c r="I461" s="147"/>
      <c r="J461" s="147"/>
      <c r="K461" s="140"/>
      <c r="L461" s="140"/>
      <c r="M461" s="140"/>
      <c r="N461" s="140"/>
      <c r="O461" s="141"/>
      <c r="P461" s="140"/>
      <c r="Q461" s="140"/>
      <c r="R461" s="140"/>
      <c r="S461" s="140"/>
      <c r="T461" s="140"/>
      <c r="U461" s="140"/>
      <c r="V461" s="140"/>
      <c r="W461" s="140"/>
      <c r="X461" s="140"/>
      <c r="Y461" s="140"/>
      <c r="Z461" s="140"/>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1:91">
      <c r="A462" s="147"/>
      <c r="B462" s="147"/>
      <c r="C462" s="147"/>
      <c r="D462" s="147"/>
      <c r="E462" s="147"/>
      <c r="F462" s="147"/>
      <c r="G462" s="147"/>
      <c r="H462" s="147"/>
      <c r="I462" s="147"/>
      <c r="J462" s="147"/>
      <c r="K462" s="140"/>
      <c r="L462" s="140"/>
      <c r="M462" s="140"/>
      <c r="N462" s="140"/>
      <c r="O462" s="141"/>
      <c r="P462" s="140"/>
      <c r="Q462" s="140"/>
      <c r="R462" s="140"/>
      <c r="S462" s="140"/>
      <c r="T462" s="140"/>
      <c r="U462" s="140"/>
      <c r="V462" s="140"/>
      <c r="W462" s="140"/>
      <c r="X462" s="140"/>
      <c r="Y462" s="140"/>
      <c r="Z462" s="140"/>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1:91">
      <c r="A463" s="147"/>
      <c r="B463" s="147"/>
      <c r="C463" s="147"/>
      <c r="D463" s="147"/>
      <c r="E463" s="147"/>
      <c r="F463" s="147"/>
      <c r="G463" s="147"/>
      <c r="H463" s="147"/>
      <c r="I463" s="147"/>
      <c r="J463" s="147"/>
      <c r="K463" s="140"/>
      <c r="L463" s="140"/>
      <c r="M463" s="140"/>
      <c r="N463" s="140"/>
      <c r="O463" s="141"/>
      <c r="P463" s="140"/>
      <c r="Q463" s="140"/>
      <c r="R463" s="140"/>
      <c r="S463" s="140"/>
      <c r="T463" s="140"/>
      <c r="U463" s="140"/>
      <c r="V463" s="140"/>
      <c r="W463" s="140"/>
      <c r="X463" s="140"/>
      <c r="Y463" s="140"/>
      <c r="Z463" s="140"/>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1:91">
      <c r="A464" s="147"/>
      <c r="B464" s="147"/>
      <c r="C464" s="147"/>
      <c r="D464" s="147"/>
      <c r="E464" s="147"/>
      <c r="F464" s="147"/>
      <c r="G464" s="147"/>
      <c r="H464" s="147"/>
      <c r="I464" s="147"/>
      <c r="J464" s="147"/>
      <c r="K464" s="140"/>
      <c r="L464" s="140"/>
      <c r="M464" s="140"/>
      <c r="N464" s="140"/>
      <c r="O464" s="141"/>
      <c r="P464" s="140"/>
      <c r="Q464" s="140"/>
      <c r="R464" s="140"/>
      <c r="S464" s="140"/>
      <c r="T464" s="140"/>
      <c r="U464" s="140"/>
      <c r="V464" s="140"/>
      <c r="W464" s="140"/>
      <c r="X464" s="140"/>
      <c r="Y464" s="140"/>
      <c r="Z464" s="140"/>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1:91">
      <c r="A465" s="147"/>
      <c r="B465" s="147"/>
      <c r="C465" s="147"/>
      <c r="D465" s="147"/>
      <c r="E465" s="147"/>
      <c r="F465" s="147"/>
      <c r="G465" s="147"/>
      <c r="H465" s="147"/>
      <c r="I465" s="147"/>
      <c r="J465" s="147"/>
      <c r="K465" s="140"/>
      <c r="L465" s="140"/>
      <c r="M465" s="140"/>
      <c r="N465" s="140"/>
      <c r="O465" s="141"/>
      <c r="P465" s="140"/>
      <c r="Q465" s="140"/>
      <c r="R465" s="140"/>
      <c r="S465" s="140"/>
      <c r="T465" s="140"/>
      <c r="U465" s="140"/>
      <c r="V465" s="140"/>
      <c r="W465" s="140"/>
      <c r="X465" s="140"/>
      <c r="Y465" s="140"/>
      <c r="Z465" s="140"/>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1:91">
      <c r="A466" s="147"/>
      <c r="B466" s="147"/>
      <c r="C466" s="147"/>
      <c r="D466" s="147"/>
      <c r="E466" s="147"/>
      <c r="F466" s="147"/>
      <c r="G466" s="147"/>
      <c r="H466" s="147"/>
      <c r="I466" s="147"/>
      <c r="J466" s="147"/>
      <c r="K466" s="140"/>
      <c r="L466" s="140"/>
      <c r="M466" s="140"/>
      <c r="N466" s="140"/>
      <c r="O466" s="141"/>
      <c r="P466" s="140"/>
      <c r="Q466" s="140"/>
      <c r="R466" s="140"/>
      <c r="S466" s="140"/>
      <c r="T466" s="140"/>
      <c r="U466" s="140"/>
      <c r="V466" s="140"/>
      <c r="W466" s="140"/>
      <c r="X466" s="140"/>
      <c r="Y466" s="140"/>
      <c r="Z466" s="140"/>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1:91">
      <c r="A467" s="147"/>
      <c r="B467" s="147"/>
      <c r="C467" s="147"/>
      <c r="D467" s="147"/>
      <c r="E467" s="147"/>
      <c r="F467" s="147"/>
      <c r="G467" s="147"/>
      <c r="H467" s="147"/>
      <c r="I467" s="147"/>
      <c r="J467" s="147"/>
      <c r="K467" s="140"/>
      <c r="L467" s="140"/>
      <c r="M467" s="140"/>
      <c r="N467" s="140"/>
      <c r="O467" s="141"/>
      <c r="P467" s="140"/>
      <c r="Q467" s="140"/>
      <c r="R467" s="140"/>
      <c r="S467" s="140"/>
      <c r="T467" s="140"/>
      <c r="U467" s="140"/>
      <c r="V467" s="140"/>
      <c r="W467" s="140"/>
      <c r="X467" s="140"/>
      <c r="Y467" s="140"/>
      <c r="Z467" s="140"/>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1:91">
      <c r="A468" s="147"/>
      <c r="B468" s="147"/>
      <c r="C468" s="147"/>
      <c r="D468" s="147"/>
      <c r="E468" s="147"/>
      <c r="F468" s="147"/>
      <c r="G468" s="147"/>
      <c r="H468" s="147"/>
      <c r="I468" s="147"/>
      <c r="J468" s="147"/>
      <c r="K468" s="140"/>
      <c r="L468" s="140"/>
      <c r="M468" s="140"/>
      <c r="N468" s="140"/>
      <c r="O468" s="141"/>
      <c r="P468" s="140"/>
      <c r="Q468" s="140"/>
      <c r="R468" s="140"/>
      <c r="S468" s="140"/>
      <c r="T468" s="140"/>
      <c r="U468" s="140"/>
      <c r="V468" s="140"/>
      <c r="W468" s="140"/>
      <c r="X468" s="140"/>
      <c r="Y468" s="140"/>
      <c r="Z468" s="140"/>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1:91">
      <c r="A469" s="147"/>
      <c r="B469" s="147"/>
      <c r="C469" s="147"/>
      <c r="D469" s="147"/>
      <c r="E469" s="147"/>
      <c r="F469" s="147"/>
      <c r="G469" s="147"/>
      <c r="H469" s="147"/>
      <c r="I469" s="147"/>
      <c r="J469" s="147"/>
      <c r="K469" s="140"/>
      <c r="L469" s="140"/>
      <c r="M469" s="140"/>
      <c r="N469" s="140"/>
      <c r="O469" s="141"/>
      <c r="P469" s="140"/>
      <c r="Q469" s="140"/>
      <c r="R469" s="140"/>
      <c r="S469" s="140"/>
      <c r="T469" s="140"/>
      <c r="U469" s="140"/>
      <c r="V469" s="140"/>
      <c r="W469" s="140"/>
      <c r="X469" s="140"/>
      <c r="Y469" s="140"/>
      <c r="Z469" s="140"/>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1:91">
      <c r="A470" s="147"/>
      <c r="B470" s="147"/>
      <c r="C470" s="147"/>
      <c r="D470" s="147"/>
      <c r="E470" s="147"/>
      <c r="F470" s="147"/>
      <c r="G470" s="147"/>
      <c r="H470" s="147"/>
      <c r="I470" s="147"/>
      <c r="J470" s="147"/>
      <c r="K470" s="140"/>
      <c r="L470" s="140"/>
      <c r="M470" s="140"/>
      <c r="N470" s="140"/>
      <c r="O470" s="141"/>
      <c r="P470" s="140"/>
      <c r="Q470" s="140"/>
      <c r="R470" s="140"/>
      <c r="S470" s="140"/>
      <c r="T470" s="140"/>
      <c r="U470" s="140"/>
      <c r="V470" s="140"/>
      <c r="W470" s="140"/>
      <c r="X470" s="140"/>
      <c r="Y470" s="140"/>
      <c r="Z470" s="14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1:91">
      <c r="A471" s="147"/>
      <c r="B471" s="147"/>
      <c r="C471" s="147"/>
      <c r="D471" s="147"/>
      <c r="E471" s="147"/>
      <c r="F471" s="147"/>
      <c r="G471" s="147"/>
      <c r="H471" s="147"/>
      <c r="I471" s="147"/>
      <c r="J471" s="147"/>
      <c r="K471" s="140"/>
      <c r="L471" s="140"/>
      <c r="M471" s="140"/>
      <c r="N471" s="140"/>
      <c r="O471" s="141"/>
      <c r="P471" s="140"/>
      <c r="Q471" s="140"/>
      <c r="R471" s="140"/>
      <c r="S471" s="140"/>
      <c r="T471" s="140"/>
      <c r="U471" s="140"/>
      <c r="V471" s="140"/>
      <c r="W471" s="140"/>
      <c r="X471" s="140"/>
      <c r="Y471" s="140"/>
      <c r="Z471" s="140"/>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1:91">
      <c r="A472" s="147"/>
      <c r="B472" s="147"/>
      <c r="C472" s="147"/>
      <c r="D472" s="147"/>
      <c r="E472" s="147"/>
      <c r="F472" s="147"/>
      <c r="G472" s="147"/>
      <c r="H472" s="147"/>
      <c r="I472" s="147"/>
      <c r="J472" s="147"/>
      <c r="K472" s="140"/>
      <c r="L472" s="140"/>
      <c r="M472" s="140"/>
      <c r="N472" s="140"/>
      <c r="O472" s="141"/>
      <c r="P472" s="140"/>
      <c r="Q472" s="140"/>
      <c r="R472" s="140"/>
      <c r="S472" s="140"/>
      <c r="T472" s="140"/>
      <c r="U472" s="140"/>
      <c r="V472" s="140"/>
      <c r="W472" s="140"/>
      <c r="X472" s="140"/>
      <c r="Y472" s="140"/>
      <c r="Z472" s="140"/>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1:91">
      <c r="A473" s="147"/>
      <c r="B473" s="147"/>
      <c r="C473" s="147"/>
      <c r="D473" s="147"/>
      <c r="E473" s="147"/>
      <c r="F473" s="147"/>
      <c r="G473" s="147"/>
      <c r="H473" s="147"/>
      <c r="I473" s="147"/>
      <c r="J473" s="147"/>
      <c r="K473" s="140"/>
      <c r="L473" s="140"/>
      <c r="M473" s="140"/>
      <c r="N473" s="140"/>
      <c r="O473" s="141"/>
      <c r="P473" s="140"/>
      <c r="Q473" s="140"/>
      <c r="R473" s="140"/>
      <c r="S473" s="140"/>
      <c r="T473" s="140"/>
      <c r="U473" s="140"/>
      <c r="V473" s="140"/>
      <c r="W473" s="140"/>
      <c r="X473" s="140"/>
      <c r="Y473" s="140"/>
      <c r="Z473" s="140"/>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1:91">
      <c r="A474" s="147"/>
      <c r="B474" s="147"/>
      <c r="C474" s="147"/>
      <c r="D474" s="147"/>
      <c r="E474" s="147"/>
      <c r="F474" s="147"/>
      <c r="G474" s="147"/>
      <c r="H474" s="147"/>
      <c r="I474" s="147"/>
      <c r="J474" s="147"/>
      <c r="K474" s="140"/>
      <c r="L474" s="140"/>
      <c r="M474" s="140"/>
      <c r="N474" s="140"/>
      <c r="O474" s="141"/>
      <c r="P474" s="140"/>
      <c r="Q474" s="140"/>
      <c r="R474" s="140"/>
      <c r="S474" s="140"/>
      <c r="T474" s="140"/>
      <c r="U474" s="140"/>
      <c r="V474" s="140"/>
      <c r="W474" s="140"/>
      <c r="X474" s="140"/>
      <c r="Y474" s="140"/>
      <c r="Z474" s="140"/>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1:91">
      <c r="A475" s="147"/>
      <c r="B475" s="147"/>
      <c r="C475" s="147"/>
      <c r="D475" s="147"/>
      <c r="E475" s="147"/>
      <c r="F475" s="147"/>
      <c r="G475" s="147"/>
      <c r="H475" s="147"/>
      <c r="I475" s="147"/>
      <c r="J475" s="147"/>
      <c r="K475" s="140"/>
      <c r="L475" s="140"/>
      <c r="M475" s="140"/>
      <c r="N475" s="140"/>
      <c r="O475" s="141"/>
      <c r="P475" s="140"/>
      <c r="Q475" s="140"/>
      <c r="R475" s="140"/>
      <c r="S475" s="140"/>
      <c r="T475" s="140"/>
      <c r="U475" s="140"/>
      <c r="V475" s="140"/>
      <c r="W475" s="140"/>
      <c r="X475" s="140"/>
      <c r="Y475" s="140"/>
      <c r="Z475" s="140"/>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1:91">
      <c r="A476" s="147"/>
      <c r="B476" s="147"/>
      <c r="C476" s="147"/>
      <c r="D476" s="147"/>
      <c r="E476" s="147"/>
      <c r="F476" s="147"/>
      <c r="G476" s="147"/>
      <c r="H476" s="147"/>
      <c r="I476" s="147"/>
      <c r="J476" s="147"/>
      <c r="K476" s="140"/>
      <c r="L476" s="140"/>
      <c r="M476" s="140"/>
      <c r="N476" s="140"/>
      <c r="O476" s="141"/>
      <c r="P476" s="140"/>
      <c r="Q476" s="140"/>
      <c r="R476" s="140"/>
      <c r="S476" s="140"/>
      <c r="T476" s="140"/>
      <c r="U476" s="140"/>
      <c r="V476" s="140"/>
      <c r="W476" s="140"/>
      <c r="X476" s="140"/>
      <c r="Y476" s="140"/>
      <c r="Z476" s="140"/>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1:91">
      <c r="A477" s="147"/>
      <c r="B477" s="147"/>
      <c r="C477" s="147"/>
      <c r="D477" s="147"/>
      <c r="E477" s="147"/>
      <c r="F477" s="147"/>
      <c r="G477" s="147"/>
      <c r="H477" s="147"/>
      <c r="I477" s="147"/>
      <c r="J477" s="147"/>
      <c r="K477" s="140"/>
      <c r="L477" s="140"/>
      <c r="M477" s="140"/>
      <c r="N477" s="140"/>
      <c r="O477" s="141"/>
      <c r="P477" s="140"/>
      <c r="Q477" s="140"/>
      <c r="R477" s="140"/>
      <c r="S477" s="140"/>
      <c r="T477" s="140"/>
      <c r="U477" s="140"/>
      <c r="V477" s="140"/>
      <c r="W477" s="140"/>
      <c r="X477" s="140"/>
      <c r="Y477" s="140"/>
      <c r="Z477" s="140"/>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1:91">
      <c r="A478" s="147"/>
      <c r="B478" s="147"/>
      <c r="C478" s="147"/>
      <c r="D478" s="147"/>
      <c r="E478" s="147"/>
      <c r="F478" s="147"/>
      <c r="G478" s="147"/>
      <c r="H478" s="147"/>
      <c r="I478" s="147"/>
      <c r="J478" s="147"/>
      <c r="K478" s="140"/>
      <c r="L478" s="140"/>
      <c r="M478" s="140"/>
      <c r="N478" s="140"/>
      <c r="O478" s="141"/>
      <c r="P478" s="140"/>
      <c r="Q478" s="140"/>
      <c r="R478" s="140"/>
      <c r="S478" s="140"/>
      <c r="T478" s="140"/>
      <c r="U478" s="140"/>
      <c r="V478" s="140"/>
      <c r="W478" s="140"/>
      <c r="X478" s="140"/>
      <c r="Y478" s="140"/>
      <c r="Z478" s="140"/>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1:91">
      <c r="A479" s="147"/>
      <c r="B479" s="147"/>
      <c r="C479" s="147"/>
      <c r="D479" s="147"/>
      <c r="E479" s="147"/>
      <c r="F479" s="147"/>
      <c r="G479" s="147"/>
      <c r="H479" s="147"/>
      <c r="I479" s="147"/>
      <c r="J479" s="147"/>
      <c r="K479" s="140"/>
      <c r="L479" s="140"/>
      <c r="M479" s="140"/>
      <c r="N479" s="140"/>
      <c r="O479" s="141"/>
      <c r="P479" s="140"/>
      <c r="Q479" s="140"/>
      <c r="R479" s="140"/>
      <c r="S479" s="140"/>
      <c r="T479" s="140"/>
      <c r="U479" s="140"/>
      <c r="V479" s="140"/>
      <c r="W479" s="140"/>
      <c r="X479" s="140"/>
      <c r="Y479" s="140"/>
      <c r="Z479" s="140"/>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1:91">
      <c r="A480" s="147"/>
      <c r="B480" s="147"/>
      <c r="C480" s="147"/>
      <c r="D480" s="147"/>
      <c r="E480" s="147"/>
      <c r="F480" s="147"/>
      <c r="G480" s="147"/>
      <c r="H480" s="147"/>
      <c r="I480" s="147"/>
      <c r="J480" s="147"/>
      <c r="K480" s="140"/>
      <c r="L480" s="140"/>
      <c r="M480" s="140"/>
      <c r="N480" s="140"/>
      <c r="O480" s="141"/>
      <c r="P480" s="140"/>
      <c r="Q480" s="140"/>
      <c r="R480" s="140"/>
      <c r="S480" s="140"/>
      <c r="T480" s="140"/>
      <c r="U480" s="140"/>
      <c r="V480" s="140"/>
      <c r="W480" s="140"/>
      <c r="X480" s="140"/>
      <c r="Y480" s="140"/>
      <c r="Z480" s="14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1:91">
      <c r="A481" s="147"/>
      <c r="B481" s="147"/>
      <c r="C481" s="147"/>
      <c r="D481" s="147"/>
      <c r="E481" s="147"/>
      <c r="F481" s="147"/>
      <c r="G481" s="147"/>
      <c r="H481" s="147"/>
      <c r="I481" s="147"/>
      <c r="J481" s="147"/>
      <c r="K481" s="140"/>
      <c r="L481" s="140"/>
      <c r="M481" s="140"/>
      <c r="N481" s="140"/>
      <c r="O481" s="141"/>
      <c r="P481" s="140"/>
      <c r="Q481" s="140"/>
      <c r="R481" s="140"/>
      <c r="S481" s="140"/>
      <c r="T481" s="140"/>
      <c r="U481" s="140"/>
      <c r="V481" s="140"/>
      <c r="W481" s="140"/>
      <c r="X481" s="140"/>
      <c r="Y481" s="140"/>
      <c r="Z481" s="140"/>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1:91">
      <c r="A482" s="147"/>
      <c r="B482" s="147"/>
      <c r="C482" s="147"/>
      <c r="D482" s="147"/>
      <c r="E482" s="147"/>
      <c r="F482" s="147"/>
      <c r="G482" s="147"/>
      <c r="H482" s="147"/>
      <c r="I482" s="147"/>
      <c r="J482" s="147"/>
      <c r="K482" s="140"/>
      <c r="L482" s="140"/>
      <c r="M482" s="140"/>
      <c r="N482" s="140"/>
      <c r="O482" s="141"/>
      <c r="P482" s="140"/>
      <c r="Q482" s="140"/>
      <c r="R482" s="140"/>
      <c r="S482" s="140"/>
      <c r="T482" s="140"/>
      <c r="U482" s="140"/>
      <c r="V482" s="140"/>
      <c r="W482" s="140"/>
      <c r="X482" s="140"/>
      <c r="Y482" s="140"/>
      <c r="Z482" s="140"/>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1:91">
      <c r="A483" s="147"/>
      <c r="B483" s="147"/>
      <c r="C483" s="147"/>
      <c r="D483" s="147"/>
      <c r="E483" s="147"/>
      <c r="F483" s="147"/>
      <c r="G483" s="147"/>
      <c r="H483" s="147"/>
      <c r="I483" s="147"/>
      <c r="J483" s="147"/>
      <c r="K483" s="140"/>
      <c r="L483" s="140"/>
      <c r="M483" s="140"/>
      <c r="N483" s="140"/>
      <c r="O483" s="141"/>
      <c r="P483" s="140"/>
      <c r="Q483" s="140"/>
      <c r="R483" s="140"/>
      <c r="S483" s="140"/>
      <c r="T483" s="140"/>
      <c r="U483" s="140"/>
      <c r="V483" s="140"/>
      <c r="W483" s="140"/>
      <c r="X483" s="140"/>
      <c r="Y483" s="140"/>
      <c r="Z483" s="140"/>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1:91">
      <c r="A484" s="147"/>
      <c r="B484" s="147"/>
      <c r="C484" s="147"/>
      <c r="D484" s="147"/>
      <c r="E484" s="147"/>
      <c r="F484" s="147"/>
      <c r="G484" s="147"/>
      <c r="H484" s="147"/>
      <c r="I484" s="147"/>
      <c r="J484" s="147"/>
      <c r="K484" s="140"/>
      <c r="L484" s="140"/>
      <c r="M484" s="140"/>
      <c r="N484" s="140"/>
      <c r="O484" s="141"/>
      <c r="P484" s="140"/>
      <c r="Q484" s="140"/>
      <c r="R484" s="140"/>
      <c r="S484" s="140"/>
      <c r="T484" s="140"/>
      <c r="U484" s="140"/>
      <c r="V484" s="140"/>
      <c r="W484" s="140"/>
      <c r="X484" s="140"/>
      <c r="Y484" s="140"/>
      <c r="Z484" s="140"/>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1:91">
      <c r="A485" s="147"/>
      <c r="B485" s="147"/>
      <c r="C485" s="147"/>
      <c r="D485" s="147"/>
      <c r="E485" s="147"/>
      <c r="F485" s="147"/>
      <c r="G485" s="147"/>
      <c r="H485" s="147"/>
      <c r="I485" s="147"/>
      <c r="J485" s="147"/>
      <c r="K485" s="140"/>
      <c r="L485" s="140"/>
      <c r="M485" s="140"/>
      <c r="N485" s="140"/>
      <c r="O485" s="141"/>
      <c r="P485" s="140"/>
      <c r="Q485" s="140"/>
      <c r="R485" s="140"/>
      <c r="S485" s="140"/>
      <c r="T485" s="140"/>
      <c r="U485" s="140"/>
      <c r="V485" s="140"/>
      <c r="W485" s="140"/>
      <c r="X485" s="140"/>
      <c r="Y485" s="140"/>
      <c r="Z485" s="140"/>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1:91">
      <c r="A486" s="147"/>
      <c r="B486" s="147"/>
      <c r="C486" s="147"/>
      <c r="D486" s="147"/>
      <c r="E486" s="147"/>
      <c r="F486" s="147"/>
      <c r="G486" s="147"/>
      <c r="H486" s="147"/>
      <c r="I486" s="147"/>
      <c r="J486" s="147"/>
      <c r="K486" s="140"/>
      <c r="L486" s="140"/>
      <c r="M486" s="140"/>
      <c r="N486" s="140"/>
      <c r="O486" s="141"/>
      <c r="P486" s="140"/>
      <c r="Q486" s="140"/>
      <c r="R486" s="140"/>
      <c r="S486" s="140"/>
      <c r="T486" s="140"/>
      <c r="U486" s="140"/>
      <c r="V486" s="140"/>
      <c r="W486" s="140"/>
      <c r="X486" s="140"/>
      <c r="Y486" s="140"/>
      <c r="Z486" s="140"/>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1:91">
      <c r="A487" s="147"/>
      <c r="B487" s="147"/>
      <c r="C487" s="147"/>
      <c r="D487" s="147"/>
      <c r="E487" s="147"/>
      <c r="F487" s="147"/>
      <c r="G487" s="147"/>
      <c r="H487" s="147"/>
      <c r="I487" s="147"/>
      <c r="J487" s="147"/>
      <c r="K487" s="140"/>
      <c r="L487" s="140"/>
      <c r="M487" s="140"/>
      <c r="N487" s="140"/>
      <c r="O487" s="141"/>
      <c r="P487" s="140"/>
      <c r="Q487" s="140"/>
      <c r="R487" s="140"/>
      <c r="S487" s="140"/>
      <c r="T487" s="140"/>
      <c r="U487" s="140"/>
      <c r="V487" s="140"/>
      <c r="W487" s="140"/>
      <c r="X487" s="140"/>
      <c r="Y487" s="140"/>
      <c r="Z487" s="140"/>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1:91">
      <c r="A488" s="147"/>
      <c r="B488" s="147"/>
      <c r="C488" s="147"/>
      <c r="D488" s="147"/>
      <c r="E488" s="147"/>
      <c r="F488" s="147"/>
      <c r="G488" s="147"/>
      <c r="H488" s="147"/>
      <c r="I488" s="147"/>
      <c r="J488" s="147"/>
      <c r="K488" s="140"/>
      <c r="L488" s="140"/>
      <c r="M488" s="140"/>
      <c r="N488" s="140"/>
      <c r="O488" s="141"/>
      <c r="P488" s="140"/>
      <c r="Q488" s="140"/>
      <c r="R488" s="140"/>
      <c r="S488" s="140"/>
      <c r="T488" s="140"/>
      <c r="U488" s="140"/>
      <c r="V488" s="140"/>
      <c r="W488" s="140"/>
      <c r="X488" s="140"/>
      <c r="Y488" s="140"/>
      <c r="Z488" s="140"/>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1:91">
      <c r="A489" s="147"/>
      <c r="B489" s="147"/>
      <c r="C489" s="147"/>
      <c r="D489" s="147"/>
      <c r="E489" s="147"/>
      <c r="F489" s="147"/>
      <c r="G489" s="147"/>
      <c r="H489" s="147"/>
      <c r="I489" s="147"/>
      <c r="J489" s="147"/>
      <c r="K489" s="140"/>
      <c r="L489" s="140"/>
      <c r="M489" s="140"/>
      <c r="N489" s="140"/>
      <c r="O489" s="141"/>
      <c r="P489" s="140"/>
      <c r="Q489" s="140"/>
      <c r="R489" s="140"/>
      <c r="S489" s="140"/>
      <c r="T489" s="140"/>
      <c r="U489" s="140"/>
      <c r="V489" s="140"/>
      <c r="W489" s="140"/>
      <c r="X489" s="140"/>
      <c r="Y489" s="140"/>
      <c r="Z489" s="140"/>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1:91">
      <c r="A490" s="147"/>
      <c r="B490" s="147"/>
      <c r="C490" s="147"/>
      <c r="D490" s="147"/>
      <c r="E490" s="147"/>
      <c r="F490" s="147"/>
      <c r="G490" s="147"/>
      <c r="H490" s="147"/>
      <c r="I490" s="147"/>
      <c r="J490" s="147"/>
      <c r="K490" s="140"/>
      <c r="L490" s="140"/>
      <c r="M490" s="140"/>
      <c r="N490" s="140"/>
      <c r="O490" s="141"/>
      <c r="P490" s="140"/>
      <c r="Q490" s="140"/>
      <c r="R490" s="140"/>
      <c r="S490" s="140"/>
      <c r="T490" s="140"/>
      <c r="U490" s="140"/>
      <c r="V490" s="140"/>
      <c r="W490" s="140"/>
      <c r="X490" s="140"/>
      <c r="Y490" s="140"/>
      <c r="Z490" s="14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1:91">
      <c r="A491" s="147"/>
      <c r="B491" s="147"/>
      <c r="C491" s="147"/>
      <c r="D491" s="147"/>
      <c r="E491" s="147"/>
      <c r="F491" s="147"/>
      <c r="G491" s="147"/>
      <c r="H491" s="147"/>
      <c r="I491" s="147"/>
      <c r="J491" s="147"/>
      <c r="K491" s="140"/>
      <c r="L491" s="140"/>
      <c r="M491" s="140"/>
      <c r="N491" s="140"/>
      <c r="O491" s="141"/>
      <c r="P491" s="140"/>
      <c r="Q491" s="140"/>
      <c r="R491" s="140"/>
      <c r="S491" s="140"/>
      <c r="T491" s="140"/>
      <c r="U491" s="140"/>
      <c r="V491" s="140"/>
      <c r="W491" s="140"/>
      <c r="X491" s="140"/>
      <c r="Y491" s="140"/>
      <c r="Z491" s="140"/>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1:91">
      <c r="A492" s="147"/>
      <c r="B492" s="147"/>
      <c r="C492" s="147"/>
      <c r="D492" s="147"/>
      <c r="E492" s="147"/>
      <c r="F492" s="147"/>
      <c r="G492" s="147"/>
      <c r="H492" s="147"/>
      <c r="I492" s="147"/>
      <c r="J492" s="147"/>
      <c r="K492" s="140"/>
      <c r="L492" s="140"/>
      <c r="M492" s="140"/>
      <c r="N492" s="140"/>
      <c r="O492" s="141"/>
      <c r="P492" s="140"/>
      <c r="Q492" s="140"/>
      <c r="R492" s="140"/>
      <c r="S492" s="140"/>
      <c r="T492" s="140"/>
      <c r="U492" s="140"/>
      <c r="V492" s="140"/>
      <c r="W492" s="140"/>
      <c r="X492" s="140"/>
      <c r="Y492" s="140"/>
      <c r="Z492" s="140"/>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1:91">
      <c r="A493" s="147"/>
      <c r="B493" s="147"/>
      <c r="C493" s="147"/>
      <c r="D493" s="147"/>
      <c r="E493" s="147"/>
      <c r="F493" s="147"/>
      <c r="G493" s="147"/>
      <c r="H493" s="147"/>
      <c r="I493" s="147"/>
      <c r="J493" s="147"/>
      <c r="K493" s="140"/>
      <c r="L493" s="140"/>
      <c r="M493" s="140"/>
      <c r="N493" s="140"/>
      <c r="O493" s="141"/>
      <c r="P493" s="140"/>
      <c r="Q493" s="140"/>
      <c r="R493" s="140"/>
      <c r="S493" s="140"/>
      <c r="T493" s="140"/>
      <c r="U493" s="140"/>
      <c r="V493" s="140"/>
      <c r="W493" s="140"/>
      <c r="X493" s="140"/>
      <c r="Y493" s="140"/>
      <c r="Z493" s="140"/>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1:91">
      <c r="A494" s="147"/>
      <c r="B494" s="147"/>
      <c r="C494" s="147"/>
      <c r="D494" s="147"/>
      <c r="E494" s="147"/>
      <c r="F494" s="147"/>
      <c r="G494" s="147"/>
      <c r="H494" s="147"/>
      <c r="I494" s="147"/>
      <c r="J494" s="147"/>
      <c r="K494" s="140"/>
      <c r="L494" s="140"/>
      <c r="M494" s="140"/>
      <c r="N494" s="140"/>
      <c r="O494" s="141"/>
      <c r="P494" s="140"/>
      <c r="Q494" s="140"/>
      <c r="R494" s="140"/>
      <c r="S494" s="140"/>
      <c r="T494" s="140"/>
      <c r="U494" s="140"/>
      <c r="V494" s="140"/>
      <c r="W494" s="140"/>
      <c r="X494" s="140"/>
      <c r="Y494" s="140"/>
      <c r="Z494" s="140"/>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1:91">
      <c r="A495" s="147"/>
      <c r="B495" s="147"/>
      <c r="C495" s="147"/>
      <c r="D495" s="147"/>
      <c r="E495" s="147"/>
      <c r="F495" s="147"/>
      <c r="G495" s="147"/>
      <c r="H495" s="147"/>
      <c r="I495" s="147"/>
      <c r="J495" s="147"/>
      <c r="K495" s="140"/>
      <c r="L495" s="140"/>
      <c r="M495" s="140"/>
      <c r="N495" s="140"/>
      <c r="O495" s="141"/>
      <c r="P495" s="140"/>
      <c r="Q495" s="140"/>
      <c r="R495" s="140"/>
      <c r="S495" s="140"/>
      <c r="T495" s="140"/>
      <c r="U495" s="140"/>
      <c r="V495" s="140"/>
      <c r="W495" s="140"/>
      <c r="X495" s="140"/>
      <c r="Y495" s="140"/>
      <c r="Z495" s="140"/>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1:91">
      <c r="A496" s="147"/>
      <c r="B496" s="147"/>
      <c r="C496" s="147"/>
      <c r="D496" s="147"/>
      <c r="E496" s="147"/>
      <c r="F496" s="147"/>
      <c r="G496" s="147"/>
      <c r="H496" s="147"/>
      <c r="I496" s="147"/>
      <c r="J496" s="147"/>
      <c r="K496" s="140"/>
      <c r="L496" s="140"/>
      <c r="M496" s="140"/>
      <c r="N496" s="140"/>
      <c r="O496" s="141"/>
      <c r="P496" s="140"/>
      <c r="Q496" s="140"/>
      <c r="R496" s="140"/>
      <c r="S496" s="140"/>
      <c r="T496" s="140"/>
      <c r="U496" s="140"/>
      <c r="V496" s="140"/>
      <c r="W496" s="140"/>
      <c r="X496" s="140"/>
      <c r="Y496" s="140"/>
      <c r="Z496" s="140"/>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1:91">
      <c r="A497" s="147"/>
      <c r="B497" s="147"/>
      <c r="C497" s="147"/>
      <c r="D497" s="147"/>
      <c r="E497" s="147"/>
      <c r="F497" s="147"/>
      <c r="G497" s="147"/>
      <c r="H497" s="147"/>
      <c r="I497" s="147"/>
      <c r="J497" s="147"/>
      <c r="K497" s="140"/>
      <c r="L497" s="140"/>
      <c r="M497" s="140"/>
      <c r="N497" s="140"/>
      <c r="O497" s="141"/>
      <c r="P497" s="140"/>
      <c r="Q497" s="140"/>
      <c r="R497" s="140"/>
      <c r="S497" s="140"/>
      <c r="T497" s="140"/>
      <c r="U497" s="140"/>
      <c r="V497" s="140"/>
      <c r="W497" s="140"/>
      <c r="X497" s="140"/>
      <c r="Y497" s="140"/>
      <c r="Z497" s="140"/>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1:91">
      <c r="A498" s="147"/>
      <c r="B498" s="147"/>
      <c r="C498" s="147"/>
      <c r="D498" s="147"/>
      <c r="E498" s="147"/>
      <c r="F498" s="147"/>
      <c r="G498" s="147"/>
      <c r="H498" s="147"/>
      <c r="I498" s="147"/>
      <c r="J498" s="147"/>
      <c r="K498" s="140"/>
      <c r="L498" s="140"/>
      <c r="M498" s="140"/>
      <c r="N498" s="140"/>
      <c r="O498" s="141"/>
      <c r="P498" s="140"/>
      <c r="Q498" s="140"/>
      <c r="R498" s="140"/>
      <c r="S498" s="140"/>
      <c r="T498" s="140"/>
      <c r="U498" s="140"/>
      <c r="V498" s="140"/>
      <c r="W498" s="140"/>
      <c r="X498" s="140"/>
      <c r="Y498" s="140"/>
      <c r="Z498" s="140"/>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1:91">
      <c r="A499" s="147"/>
      <c r="B499" s="147"/>
      <c r="C499" s="147"/>
      <c r="D499" s="147"/>
      <c r="E499" s="147"/>
      <c r="F499" s="147"/>
      <c r="G499" s="147"/>
      <c r="H499" s="147"/>
      <c r="I499" s="147"/>
      <c r="J499" s="147"/>
      <c r="K499" s="140"/>
      <c r="L499" s="140"/>
      <c r="M499" s="140"/>
      <c r="N499" s="140"/>
      <c r="O499" s="141"/>
      <c r="P499" s="140"/>
      <c r="Q499" s="140"/>
      <c r="R499" s="140"/>
      <c r="S499" s="140"/>
      <c r="T499" s="140"/>
      <c r="U499" s="140"/>
      <c r="V499" s="140"/>
      <c r="W499" s="140"/>
      <c r="X499" s="140"/>
      <c r="Y499" s="140"/>
      <c r="Z499" s="140"/>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1:91">
      <c r="A500" s="147"/>
      <c r="B500" s="147"/>
      <c r="C500" s="147"/>
      <c r="D500" s="147"/>
      <c r="E500" s="147"/>
      <c r="F500" s="147"/>
      <c r="G500" s="147"/>
      <c r="H500" s="147"/>
      <c r="I500" s="147"/>
      <c r="J500" s="147"/>
      <c r="K500" s="140"/>
      <c r="L500" s="140"/>
      <c r="M500" s="140"/>
      <c r="N500" s="140"/>
      <c r="O500" s="141"/>
      <c r="P500" s="140"/>
      <c r="Q500" s="140"/>
      <c r="R500" s="140"/>
      <c r="S500" s="140"/>
      <c r="T500" s="140"/>
      <c r="U500" s="140"/>
      <c r="V500" s="140"/>
      <c r="W500" s="140"/>
      <c r="X500" s="140"/>
      <c r="Y500" s="140"/>
      <c r="Z500" s="14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1:91">
      <c r="A501" s="147"/>
      <c r="B501" s="147"/>
      <c r="C501" s="147"/>
      <c r="D501" s="147"/>
      <c r="E501" s="147"/>
      <c r="F501" s="147"/>
      <c r="G501" s="147"/>
      <c r="H501" s="147"/>
      <c r="I501" s="147"/>
      <c r="J501" s="147"/>
      <c r="K501" s="140"/>
      <c r="L501" s="140"/>
      <c r="M501" s="140"/>
      <c r="N501" s="140"/>
      <c r="O501" s="141"/>
      <c r="P501" s="140"/>
      <c r="Q501" s="140"/>
      <c r="R501" s="140"/>
      <c r="S501" s="140"/>
      <c r="T501" s="140"/>
      <c r="U501" s="140"/>
      <c r="V501" s="140"/>
      <c r="W501" s="140"/>
      <c r="X501" s="140"/>
      <c r="Y501" s="140"/>
      <c r="Z501" s="140"/>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1:91">
      <c r="A502" s="147"/>
      <c r="B502" s="147"/>
      <c r="C502" s="147"/>
      <c r="D502" s="147"/>
      <c r="E502" s="147"/>
      <c r="F502" s="147"/>
      <c r="G502" s="147"/>
      <c r="H502" s="147"/>
      <c r="I502" s="147"/>
      <c r="J502" s="147"/>
      <c r="K502" s="140"/>
      <c r="L502" s="140"/>
      <c r="M502" s="140"/>
      <c r="N502" s="140"/>
      <c r="O502" s="141"/>
      <c r="P502" s="140"/>
      <c r="Q502" s="140"/>
      <c r="R502" s="140"/>
      <c r="S502" s="140"/>
      <c r="T502" s="140"/>
      <c r="U502" s="140"/>
      <c r="V502" s="140"/>
      <c r="W502" s="140"/>
      <c r="X502" s="140"/>
      <c r="Y502" s="140"/>
      <c r="Z502" s="140"/>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1:91">
      <c r="A503" s="147"/>
      <c r="B503" s="147"/>
      <c r="C503" s="147"/>
      <c r="D503" s="147"/>
      <c r="E503" s="147"/>
      <c r="F503" s="147"/>
      <c r="G503" s="147"/>
      <c r="H503" s="147"/>
      <c r="I503" s="147"/>
      <c r="J503" s="147"/>
      <c r="K503" s="140"/>
      <c r="L503" s="140"/>
      <c r="M503" s="140"/>
      <c r="N503" s="140"/>
      <c r="O503" s="141"/>
      <c r="P503" s="140"/>
      <c r="Q503" s="140"/>
      <c r="R503" s="140"/>
      <c r="S503" s="140"/>
      <c r="T503" s="140"/>
      <c r="U503" s="140"/>
      <c r="V503" s="140"/>
      <c r="W503" s="140"/>
      <c r="X503" s="140"/>
      <c r="Y503" s="140"/>
      <c r="Z503" s="140"/>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1:91">
      <c r="A504" s="147"/>
      <c r="B504" s="147"/>
      <c r="C504" s="147"/>
      <c r="D504" s="147"/>
      <c r="E504" s="147"/>
      <c r="F504" s="147"/>
      <c r="G504" s="147"/>
      <c r="H504" s="147"/>
      <c r="I504" s="147"/>
      <c r="J504" s="147"/>
      <c r="K504" s="140"/>
      <c r="L504" s="140"/>
      <c r="M504" s="140"/>
      <c r="N504" s="140"/>
      <c r="O504" s="141"/>
      <c r="P504" s="140"/>
      <c r="Q504" s="140"/>
      <c r="R504" s="140"/>
      <c r="S504" s="140"/>
      <c r="T504" s="140"/>
      <c r="U504" s="140"/>
      <c r="V504" s="140"/>
      <c r="W504" s="140"/>
      <c r="X504" s="140"/>
      <c r="Y504" s="140"/>
      <c r="Z504" s="140"/>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1:91">
      <c r="A505" s="147"/>
      <c r="B505" s="147"/>
      <c r="C505" s="147"/>
      <c r="D505" s="147"/>
      <c r="E505" s="147"/>
      <c r="F505" s="147"/>
      <c r="G505" s="147"/>
      <c r="H505" s="147"/>
      <c r="I505" s="147"/>
      <c r="J505" s="147"/>
      <c r="K505" s="140"/>
      <c r="L505" s="140"/>
      <c r="M505" s="140"/>
      <c r="N505" s="140"/>
      <c r="O505" s="141"/>
      <c r="P505" s="140"/>
      <c r="Q505" s="140"/>
      <c r="R505" s="140"/>
      <c r="S505" s="140"/>
      <c r="T505" s="140"/>
      <c r="U505" s="140"/>
      <c r="V505" s="140"/>
      <c r="W505" s="140"/>
      <c r="X505" s="140"/>
      <c r="Y505" s="140"/>
      <c r="Z505" s="140"/>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1:91">
      <c r="A506" s="147"/>
      <c r="B506" s="147"/>
      <c r="C506" s="147"/>
      <c r="D506" s="147"/>
      <c r="E506" s="147"/>
      <c r="F506" s="147"/>
      <c r="G506" s="147"/>
      <c r="H506" s="147"/>
      <c r="I506" s="147"/>
      <c r="J506" s="147"/>
      <c r="K506" s="140"/>
      <c r="L506" s="140"/>
      <c r="M506" s="140"/>
      <c r="N506" s="140"/>
      <c r="O506" s="141"/>
      <c r="P506" s="140"/>
      <c r="Q506" s="140"/>
      <c r="R506" s="140"/>
      <c r="S506" s="140"/>
      <c r="T506" s="140"/>
      <c r="U506" s="140"/>
      <c r="V506" s="140"/>
      <c r="W506" s="140"/>
      <c r="X506" s="140"/>
      <c r="Y506" s="140"/>
      <c r="Z506" s="140"/>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1:91">
      <c r="A507" s="147"/>
      <c r="B507" s="147"/>
      <c r="C507" s="147"/>
      <c r="D507" s="147"/>
      <c r="E507" s="147"/>
      <c r="F507" s="147"/>
      <c r="G507" s="147"/>
      <c r="H507" s="147"/>
      <c r="I507" s="147"/>
      <c r="J507" s="147"/>
      <c r="K507" s="140"/>
      <c r="L507" s="140"/>
      <c r="M507" s="140"/>
      <c r="N507" s="140"/>
      <c r="O507" s="141"/>
      <c r="P507" s="140"/>
      <c r="Q507" s="140"/>
      <c r="R507" s="140"/>
      <c r="S507" s="140"/>
      <c r="T507" s="140"/>
      <c r="U507" s="140"/>
      <c r="V507" s="140"/>
      <c r="W507" s="140"/>
      <c r="X507" s="140"/>
      <c r="Y507" s="140"/>
      <c r="Z507" s="140"/>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1:91">
      <c r="A508" s="147"/>
      <c r="B508" s="147"/>
      <c r="C508" s="147"/>
      <c r="D508" s="147"/>
      <c r="E508" s="147"/>
      <c r="F508" s="147"/>
      <c r="G508" s="147"/>
      <c r="H508" s="147"/>
      <c r="I508" s="147"/>
      <c r="J508" s="147"/>
      <c r="K508" s="140"/>
      <c r="L508" s="140"/>
      <c r="M508" s="140"/>
      <c r="N508" s="140"/>
      <c r="O508" s="141"/>
      <c r="P508" s="140"/>
      <c r="Q508" s="140"/>
      <c r="R508" s="140"/>
      <c r="S508" s="140"/>
      <c r="T508" s="140"/>
      <c r="U508" s="140"/>
      <c r="V508" s="140"/>
      <c r="W508" s="140"/>
      <c r="X508" s="140"/>
      <c r="Y508" s="140"/>
      <c r="Z508" s="140"/>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1:91">
      <c r="A509" s="147"/>
      <c r="B509" s="147"/>
      <c r="C509" s="147"/>
      <c r="D509" s="147"/>
      <c r="E509" s="147"/>
      <c r="F509" s="147"/>
      <c r="G509" s="147"/>
      <c r="H509" s="147"/>
      <c r="I509" s="147"/>
      <c r="J509" s="147"/>
      <c r="K509" s="140"/>
      <c r="L509" s="140"/>
      <c r="M509" s="140"/>
      <c r="N509" s="140"/>
      <c r="O509" s="141"/>
      <c r="P509" s="140"/>
      <c r="Q509" s="140"/>
      <c r="R509" s="140"/>
      <c r="S509" s="140"/>
      <c r="T509" s="140"/>
      <c r="U509" s="140"/>
      <c r="V509" s="140"/>
      <c r="W509" s="140"/>
      <c r="X509" s="140"/>
      <c r="Y509" s="140"/>
      <c r="Z509" s="140"/>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1:91">
      <c r="A510" s="147"/>
      <c r="B510" s="147"/>
      <c r="C510" s="147"/>
      <c r="D510" s="147"/>
      <c r="E510" s="147"/>
      <c r="F510" s="147"/>
      <c r="G510" s="147"/>
      <c r="H510" s="147"/>
      <c r="I510" s="147"/>
      <c r="J510" s="147"/>
      <c r="K510" s="140"/>
      <c r="L510" s="140"/>
      <c r="M510" s="140"/>
      <c r="N510" s="140"/>
      <c r="O510" s="141"/>
      <c r="P510" s="140"/>
      <c r="Q510" s="140"/>
      <c r="R510" s="140"/>
      <c r="S510" s="140"/>
      <c r="T510" s="140"/>
      <c r="U510" s="140"/>
      <c r="V510" s="140"/>
      <c r="W510" s="140"/>
      <c r="X510" s="140"/>
      <c r="Y510" s="140"/>
      <c r="Z510" s="14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1:91">
      <c r="A511" s="147"/>
      <c r="B511" s="147"/>
      <c r="C511" s="147"/>
      <c r="D511" s="147"/>
      <c r="E511" s="147"/>
      <c r="F511" s="147"/>
      <c r="G511" s="147"/>
      <c r="H511" s="147"/>
      <c r="I511" s="147"/>
      <c r="J511" s="147"/>
      <c r="K511" s="140"/>
      <c r="L511" s="140"/>
      <c r="M511" s="140"/>
      <c r="N511" s="140"/>
      <c r="O511" s="141"/>
      <c r="P511" s="140"/>
      <c r="Q511" s="140"/>
      <c r="R511" s="140"/>
      <c r="S511" s="140"/>
      <c r="T511" s="140"/>
      <c r="U511" s="140"/>
      <c r="V511" s="140"/>
      <c r="W511" s="140"/>
      <c r="X511" s="140"/>
      <c r="Y511" s="140"/>
      <c r="Z511" s="140"/>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1:91">
      <c r="A512" s="147"/>
      <c r="B512" s="147"/>
      <c r="C512" s="147"/>
      <c r="D512" s="147"/>
      <c r="E512" s="147"/>
      <c r="F512" s="147"/>
      <c r="G512" s="147"/>
      <c r="H512" s="147"/>
      <c r="I512" s="147"/>
      <c r="J512" s="147"/>
      <c r="K512" s="140"/>
      <c r="L512" s="140"/>
      <c r="M512" s="140"/>
      <c r="N512" s="140"/>
      <c r="O512" s="141"/>
      <c r="P512" s="140"/>
      <c r="Q512" s="140"/>
      <c r="R512" s="140"/>
      <c r="S512" s="140"/>
      <c r="T512" s="140"/>
      <c r="U512" s="140"/>
      <c r="V512" s="140"/>
      <c r="W512" s="140"/>
      <c r="X512" s="140"/>
      <c r="Y512" s="140"/>
      <c r="Z512" s="140"/>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1:91">
      <c r="A513" s="147"/>
      <c r="B513" s="147"/>
      <c r="C513" s="147"/>
      <c r="D513" s="147"/>
      <c r="E513" s="147"/>
      <c r="F513" s="147"/>
      <c r="G513" s="147"/>
      <c r="H513" s="147"/>
      <c r="I513" s="147"/>
      <c r="J513" s="147"/>
      <c r="K513" s="140"/>
      <c r="L513" s="140"/>
      <c r="M513" s="140"/>
      <c r="N513" s="140"/>
      <c r="O513" s="141"/>
      <c r="P513" s="140"/>
      <c r="Q513" s="140"/>
      <c r="R513" s="140"/>
      <c r="S513" s="140"/>
      <c r="T513" s="140"/>
      <c r="U513" s="140"/>
      <c r="V513" s="140"/>
      <c r="W513" s="140"/>
      <c r="X513" s="140"/>
      <c r="Y513" s="140"/>
      <c r="Z513" s="140"/>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1:91">
      <c r="A514" s="147"/>
      <c r="B514" s="147"/>
      <c r="C514" s="147"/>
      <c r="D514" s="147"/>
      <c r="E514" s="147"/>
      <c r="F514" s="147"/>
      <c r="G514" s="147"/>
      <c r="H514" s="147"/>
      <c r="I514" s="147"/>
      <c r="J514" s="147"/>
      <c r="K514" s="140"/>
      <c r="L514" s="140"/>
      <c r="M514" s="140"/>
      <c r="N514" s="140"/>
      <c r="O514" s="141"/>
      <c r="P514" s="140"/>
      <c r="Q514" s="140"/>
      <c r="R514" s="140"/>
      <c r="S514" s="140"/>
      <c r="T514" s="140"/>
      <c r="U514" s="140"/>
      <c r="V514" s="140"/>
      <c r="W514" s="140"/>
      <c r="X514" s="140"/>
      <c r="Y514" s="140"/>
      <c r="Z514" s="140"/>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1:91">
      <c r="A515" s="147"/>
      <c r="B515" s="147"/>
      <c r="C515" s="147"/>
      <c r="D515" s="147"/>
      <c r="E515" s="147"/>
      <c r="F515" s="147"/>
      <c r="G515" s="147"/>
      <c r="H515" s="147"/>
      <c r="I515" s="147"/>
      <c r="J515" s="147"/>
      <c r="K515" s="140"/>
      <c r="L515" s="140"/>
      <c r="M515" s="140"/>
      <c r="N515" s="140"/>
      <c r="O515" s="141"/>
      <c r="P515" s="140"/>
      <c r="Q515" s="140"/>
      <c r="R515" s="140"/>
      <c r="S515" s="140"/>
      <c r="T515" s="140"/>
      <c r="U515" s="140"/>
      <c r="V515" s="140"/>
      <c r="W515" s="140"/>
      <c r="X515" s="140"/>
      <c r="Y515" s="140"/>
      <c r="Z515" s="140"/>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1:91">
      <c r="A516" s="147"/>
      <c r="B516" s="147"/>
      <c r="C516" s="147"/>
      <c r="D516" s="147"/>
      <c r="E516" s="147"/>
      <c r="F516" s="147"/>
      <c r="G516" s="147"/>
      <c r="H516" s="147"/>
      <c r="I516" s="147"/>
      <c r="J516" s="147"/>
      <c r="K516" s="140"/>
      <c r="L516" s="140"/>
      <c r="M516" s="140"/>
      <c r="N516" s="140"/>
      <c r="O516" s="141"/>
      <c r="P516" s="140"/>
      <c r="Q516" s="140"/>
      <c r="R516" s="140"/>
      <c r="S516" s="140"/>
      <c r="T516" s="140"/>
      <c r="U516" s="140"/>
      <c r="V516" s="140"/>
      <c r="W516" s="140"/>
      <c r="X516" s="140"/>
      <c r="Y516" s="140"/>
      <c r="Z516" s="140"/>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1:91">
      <c r="A517" s="147"/>
      <c r="B517" s="147"/>
      <c r="C517" s="147"/>
      <c r="D517" s="147"/>
      <c r="E517" s="147"/>
      <c r="F517" s="147"/>
      <c r="G517" s="147"/>
      <c r="H517" s="147"/>
      <c r="I517" s="147"/>
      <c r="J517" s="147"/>
      <c r="K517" s="140"/>
      <c r="L517" s="140"/>
      <c r="M517" s="140"/>
      <c r="N517" s="140"/>
      <c r="O517" s="141"/>
      <c r="P517" s="140"/>
      <c r="Q517" s="140"/>
      <c r="R517" s="140"/>
      <c r="S517" s="140"/>
      <c r="T517" s="140"/>
      <c r="U517" s="140"/>
      <c r="V517" s="140"/>
      <c r="W517" s="140"/>
      <c r="X517" s="140"/>
      <c r="Y517" s="140"/>
      <c r="Z517" s="140"/>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1:91">
      <c r="A518" s="147"/>
      <c r="B518" s="147"/>
      <c r="C518" s="147"/>
      <c r="D518" s="147"/>
      <c r="E518" s="147"/>
      <c r="F518" s="147"/>
      <c r="G518" s="147"/>
      <c r="H518" s="147"/>
      <c r="I518" s="147"/>
      <c r="J518" s="147"/>
      <c r="K518" s="140"/>
      <c r="L518" s="140"/>
      <c r="M518" s="140"/>
      <c r="N518" s="140"/>
      <c r="O518" s="141"/>
      <c r="P518" s="140"/>
      <c r="Q518" s="140"/>
      <c r="R518" s="140"/>
      <c r="S518" s="140"/>
      <c r="T518" s="140"/>
      <c r="U518" s="140"/>
      <c r="V518" s="140"/>
      <c r="W518" s="140"/>
      <c r="X518" s="140"/>
      <c r="Y518" s="140"/>
      <c r="Z518" s="140"/>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1:91">
      <c r="A519" s="147"/>
      <c r="B519" s="147"/>
      <c r="C519" s="147"/>
      <c r="D519" s="147"/>
      <c r="E519" s="147"/>
      <c r="F519" s="147"/>
      <c r="G519" s="147"/>
      <c r="H519" s="147"/>
      <c r="I519" s="147"/>
      <c r="J519" s="147"/>
      <c r="K519" s="140"/>
      <c r="L519" s="140"/>
      <c r="M519" s="140"/>
      <c r="N519" s="140"/>
      <c r="O519" s="141"/>
      <c r="P519" s="140"/>
      <c r="Q519" s="140"/>
      <c r="R519" s="140"/>
      <c r="S519" s="140"/>
      <c r="T519" s="140"/>
      <c r="U519" s="140"/>
      <c r="V519" s="140"/>
      <c r="W519" s="140"/>
      <c r="X519" s="140"/>
      <c r="Y519" s="140"/>
      <c r="Z519" s="140"/>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1:91">
      <c r="A520" s="147"/>
      <c r="B520" s="147"/>
      <c r="C520" s="147"/>
      <c r="D520" s="147"/>
      <c r="E520" s="147"/>
      <c r="F520" s="147"/>
      <c r="G520" s="147"/>
      <c r="H520" s="147"/>
      <c r="I520" s="147"/>
      <c r="J520" s="147"/>
      <c r="K520" s="140"/>
      <c r="L520" s="140"/>
      <c r="M520" s="140"/>
      <c r="N520" s="140"/>
      <c r="O520" s="141"/>
      <c r="P520" s="140"/>
      <c r="Q520" s="140"/>
      <c r="R520" s="140"/>
      <c r="S520" s="140"/>
      <c r="T520" s="140"/>
      <c r="U520" s="140"/>
      <c r="V520" s="140"/>
      <c r="W520" s="140"/>
      <c r="X520" s="140"/>
      <c r="Y520" s="140"/>
      <c r="Z520" s="14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1:91">
      <c r="A521" s="147"/>
      <c r="B521" s="147"/>
      <c r="C521" s="147"/>
      <c r="D521" s="147"/>
      <c r="E521" s="147"/>
      <c r="F521" s="147"/>
      <c r="G521" s="147"/>
      <c r="H521" s="147"/>
      <c r="I521" s="147"/>
      <c r="J521" s="147"/>
      <c r="K521" s="140"/>
      <c r="L521" s="140"/>
      <c r="M521" s="140"/>
      <c r="N521" s="140"/>
      <c r="O521" s="141"/>
      <c r="P521" s="140"/>
      <c r="Q521" s="140"/>
      <c r="R521" s="140"/>
      <c r="S521" s="140"/>
      <c r="T521" s="140"/>
      <c r="U521" s="140"/>
      <c r="V521" s="140"/>
      <c r="W521" s="140"/>
      <c r="X521" s="140"/>
      <c r="Y521" s="140"/>
      <c r="Z521" s="140"/>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1:91">
      <c r="A522" s="147"/>
      <c r="B522" s="147"/>
      <c r="C522" s="147"/>
      <c r="D522" s="147"/>
      <c r="E522" s="147"/>
      <c r="F522" s="147"/>
      <c r="G522" s="147"/>
      <c r="H522" s="147"/>
      <c r="I522" s="147"/>
      <c r="J522" s="147"/>
      <c r="K522" s="140"/>
      <c r="L522" s="140"/>
      <c r="M522" s="140"/>
      <c r="N522" s="140"/>
      <c r="O522" s="141"/>
      <c r="P522" s="140"/>
      <c r="Q522" s="140"/>
      <c r="R522" s="140"/>
      <c r="S522" s="140"/>
      <c r="T522" s="140"/>
      <c r="U522" s="140"/>
      <c r="V522" s="140"/>
      <c r="W522" s="140"/>
      <c r="X522" s="140"/>
      <c r="Y522" s="140"/>
      <c r="Z522" s="140"/>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1:91">
      <c r="A523" s="147"/>
      <c r="B523" s="147"/>
      <c r="C523" s="147"/>
      <c r="D523" s="147"/>
      <c r="E523" s="147"/>
      <c r="F523" s="147"/>
      <c r="G523" s="147"/>
      <c r="H523" s="147"/>
      <c r="I523" s="147"/>
      <c r="J523" s="147"/>
      <c r="K523" s="140"/>
      <c r="L523" s="140"/>
      <c r="M523" s="140"/>
      <c r="N523" s="140"/>
      <c r="O523" s="141"/>
      <c r="P523" s="140"/>
      <c r="Q523" s="140"/>
      <c r="R523" s="140"/>
      <c r="S523" s="140"/>
      <c r="T523" s="140"/>
      <c r="U523" s="140"/>
      <c r="V523" s="140"/>
      <c r="W523" s="140"/>
      <c r="X523" s="140"/>
      <c r="Y523" s="140"/>
      <c r="Z523" s="140"/>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1:91">
      <c r="A524" s="147"/>
      <c r="B524" s="147"/>
      <c r="C524" s="147"/>
      <c r="D524" s="147"/>
      <c r="E524" s="147"/>
      <c r="F524" s="147"/>
      <c r="G524" s="147"/>
      <c r="H524" s="147"/>
      <c r="I524" s="147"/>
      <c r="J524" s="147"/>
      <c r="K524" s="140"/>
      <c r="L524" s="140"/>
      <c r="M524" s="140"/>
      <c r="N524" s="140"/>
      <c r="O524" s="141"/>
      <c r="P524" s="140"/>
      <c r="Q524" s="140"/>
      <c r="R524" s="140"/>
      <c r="S524" s="140"/>
      <c r="T524" s="140"/>
      <c r="U524" s="140"/>
      <c r="V524" s="140"/>
      <c r="W524" s="140"/>
      <c r="X524" s="140"/>
      <c r="Y524" s="140"/>
      <c r="Z524" s="140"/>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1:91">
      <c r="A525" s="147"/>
      <c r="B525" s="147"/>
      <c r="C525" s="147"/>
      <c r="D525" s="147"/>
      <c r="E525" s="147"/>
      <c r="F525" s="147"/>
      <c r="G525" s="147"/>
      <c r="H525" s="147"/>
      <c r="I525" s="147"/>
      <c r="J525" s="147"/>
      <c r="K525" s="140"/>
      <c r="L525" s="140"/>
      <c r="M525" s="140"/>
      <c r="N525" s="140"/>
      <c r="O525" s="141"/>
      <c r="P525" s="140"/>
      <c r="Q525" s="140"/>
      <c r="R525" s="140"/>
      <c r="S525" s="140"/>
      <c r="T525" s="140"/>
      <c r="U525" s="140"/>
      <c r="V525" s="140"/>
      <c r="W525" s="140"/>
      <c r="X525" s="140"/>
      <c r="Y525" s="140"/>
      <c r="Z525" s="140"/>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1:91">
      <c r="A526" s="147"/>
      <c r="B526" s="147"/>
      <c r="C526" s="147"/>
      <c r="D526" s="147"/>
      <c r="E526" s="147"/>
      <c r="F526" s="147"/>
      <c r="G526" s="147"/>
      <c r="H526" s="147"/>
      <c r="I526" s="147"/>
      <c r="J526" s="147"/>
      <c r="K526" s="140"/>
      <c r="L526" s="140"/>
      <c r="M526" s="140"/>
      <c r="N526" s="140"/>
      <c r="O526" s="141"/>
      <c r="P526" s="140"/>
      <c r="Q526" s="140"/>
      <c r="R526" s="140"/>
      <c r="S526" s="140"/>
      <c r="T526" s="140"/>
      <c r="U526" s="140"/>
      <c r="V526" s="140"/>
      <c r="W526" s="140"/>
      <c r="X526" s="140"/>
      <c r="Y526" s="140"/>
      <c r="Z526" s="140"/>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1:91">
      <c r="A527" s="147"/>
      <c r="B527" s="147"/>
      <c r="C527" s="147"/>
      <c r="D527" s="147"/>
      <c r="E527" s="147"/>
      <c r="F527" s="147"/>
      <c r="G527" s="147"/>
      <c r="H527" s="147"/>
      <c r="I527" s="147"/>
      <c r="J527" s="147"/>
      <c r="K527" s="140"/>
      <c r="L527" s="140"/>
      <c r="M527" s="140"/>
      <c r="N527" s="140"/>
      <c r="O527" s="141"/>
      <c r="P527" s="140"/>
      <c r="Q527" s="140"/>
      <c r="R527" s="140"/>
      <c r="S527" s="140"/>
      <c r="T527" s="140"/>
      <c r="U527" s="140"/>
      <c r="V527" s="140"/>
      <c r="W527" s="140"/>
      <c r="X527" s="140"/>
      <c r="Y527" s="140"/>
      <c r="Z527" s="140"/>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1:91">
      <c r="A528" s="147"/>
      <c r="B528" s="147"/>
      <c r="C528" s="147"/>
      <c r="D528" s="147"/>
      <c r="E528" s="147"/>
      <c r="F528" s="147"/>
      <c r="G528" s="147"/>
      <c r="H528" s="147"/>
      <c r="I528" s="147"/>
      <c r="J528" s="147"/>
      <c r="K528" s="140"/>
      <c r="L528" s="140"/>
      <c r="M528" s="140"/>
      <c r="N528" s="140"/>
      <c r="O528" s="141"/>
      <c r="P528" s="140"/>
      <c r="Q528" s="140"/>
      <c r="R528" s="140"/>
      <c r="S528" s="140"/>
      <c r="T528" s="140"/>
      <c r="U528" s="140"/>
      <c r="V528" s="140"/>
      <c r="W528" s="140"/>
      <c r="X528" s="140"/>
      <c r="Y528" s="140"/>
      <c r="Z528" s="140"/>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1:91">
      <c r="A529" s="147"/>
      <c r="B529" s="147"/>
      <c r="C529" s="147"/>
      <c r="D529" s="147"/>
      <c r="E529" s="147"/>
      <c r="F529" s="147"/>
      <c r="G529" s="147"/>
      <c r="H529" s="147"/>
      <c r="I529" s="147"/>
      <c r="J529" s="147"/>
      <c r="K529" s="140"/>
      <c r="L529" s="140"/>
      <c r="M529" s="140"/>
      <c r="N529" s="140"/>
      <c r="O529" s="141"/>
      <c r="P529" s="140"/>
      <c r="Q529" s="140"/>
      <c r="R529" s="140"/>
      <c r="S529" s="140"/>
      <c r="T529" s="140"/>
      <c r="U529" s="140"/>
      <c r="V529" s="140"/>
      <c r="W529" s="140"/>
      <c r="X529" s="140"/>
      <c r="Y529" s="140"/>
      <c r="Z529" s="140"/>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1:91">
      <c r="A530" s="147"/>
      <c r="B530" s="147"/>
      <c r="C530" s="147"/>
      <c r="D530" s="147"/>
      <c r="E530" s="147"/>
      <c r="F530" s="147"/>
      <c r="G530" s="147"/>
      <c r="H530" s="147"/>
      <c r="I530" s="147"/>
      <c r="J530" s="147"/>
      <c r="K530" s="140"/>
      <c r="L530" s="140"/>
      <c r="M530" s="140"/>
      <c r="N530" s="140"/>
      <c r="O530" s="141"/>
      <c r="P530" s="140"/>
      <c r="Q530" s="140"/>
      <c r="R530" s="140"/>
      <c r="S530" s="140"/>
      <c r="T530" s="140"/>
      <c r="U530" s="140"/>
      <c r="V530" s="140"/>
      <c r="W530" s="140"/>
      <c r="X530" s="140"/>
      <c r="Y530" s="140"/>
      <c r="Z530" s="14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1:91">
      <c r="A531" s="147"/>
      <c r="B531" s="147"/>
      <c r="C531" s="147"/>
      <c r="D531" s="147"/>
      <c r="E531" s="147"/>
      <c r="F531" s="147"/>
      <c r="G531" s="147"/>
      <c r="H531" s="147"/>
      <c r="I531" s="147"/>
      <c r="J531" s="147"/>
      <c r="K531" s="140"/>
      <c r="L531" s="140"/>
      <c r="M531" s="140"/>
      <c r="N531" s="140"/>
      <c r="O531" s="141"/>
      <c r="P531" s="140"/>
      <c r="Q531" s="140"/>
      <c r="R531" s="140"/>
      <c r="S531" s="140"/>
      <c r="T531" s="140"/>
      <c r="U531" s="140"/>
      <c r="V531" s="140"/>
      <c r="W531" s="140"/>
      <c r="X531" s="140"/>
      <c r="Y531" s="140"/>
      <c r="Z531" s="140"/>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1:91">
      <c r="A532" s="147"/>
      <c r="B532" s="147"/>
      <c r="C532" s="147"/>
      <c r="D532" s="147"/>
      <c r="E532" s="147"/>
      <c r="F532" s="147"/>
      <c r="G532" s="147"/>
      <c r="H532" s="147"/>
      <c r="I532" s="147"/>
      <c r="J532" s="147"/>
      <c r="K532" s="140"/>
      <c r="L532" s="140"/>
      <c r="M532" s="140"/>
      <c r="N532" s="140"/>
      <c r="O532" s="141"/>
      <c r="P532" s="140"/>
      <c r="Q532" s="140"/>
      <c r="R532" s="140"/>
      <c r="S532" s="140"/>
      <c r="T532" s="140"/>
      <c r="U532" s="140"/>
      <c r="V532" s="140"/>
      <c r="W532" s="140"/>
      <c r="X532" s="140"/>
      <c r="Y532" s="140"/>
      <c r="Z532" s="140"/>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1:91">
      <c r="A533" s="147"/>
      <c r="B533" s="147"/>
      <c r="C533" s="147"/>
      <c r="D533" s="147"/>
      <c r="E533" s="147"/>
      <c r="F533" s="147"/>
      <c r="G533" s="147"/>
      <c r="H533" s="147"/>
      <c r="I533" s="147"/>
      <c r="J533" s="147"/>
      <c r="K533" s="140"/>
      <c r="L533" s="140"/>
      <c r="M533" s="140"/>
      <c r="N533" s="140"/>
      <c r="O533" s="141"/>
      <c r="P533" s="140"/>
      <c r="Q533" s="140"/>
      <c r="R533" s="140"/>
      <c r="S533" s="140"/>
      <c r="T533" s="140"/>
      <c r="U533" s="140"/>
      <c r="V533" s="140"/>
      <c r="W533" s="140"/>
      <c r="X533" s="140"/>
      <c r="Y533" s="140"/>
      <c r="Z533" s="140"/>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1:91">
      <c r="A534" s="147"/>
      <c r="B534" s="147"/>
      <c r="C534" s="147"/>
      <c r="D534" s="147"/>
      <c r="E534" s="147"/>
      <c r="F534" s="147"/>
      <c r="G534" s="147"/>
      <c r="H534" s="147"/>
      <c r="I534" s="147"/>
      <c r="J534" s="147"/>
      <c r="K534" s="140"/>
      <c r="L534" s="140"/>
      <c r="M534" s="140"/>
      <c r="N534" s="140"/>
      <c r="O534" s="141"/>
      <c r="P534" s="140"/>
      <c r="Q534" s="140"/>
      <c r="R534" s="140"/>
      <c r="S534" s="140"/>
      <c r="T534" s="140"/>
      <c r="U534" s="140"/>
      <c r="V534" s="140"/>
      <c r="W534" s="140"/>
      <c r="X534" s="140"/>
      <c r="Y534" s="140"/>
      <c r="Z534" s="140"/>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1:91">
      <c r="A535" s="147"/>
      <c r="B535" s="147"/>
      <c r="C535" s="147"/>
      <c r="D535" s="147"/>
      <c r="E535" s="147"/>
      <c r="F535" s="147"/>
      <c r="G535" s="147"/>
      <c r="H535" s="147"/>
      <c r="I535" s="147"/>
      <c r="J535" s="147"/>
      <c r="K535" s="140"/>
      <c r="L535" s="140"/>
      <c r="M535" s="140"/>
      <c r="N535" s="140"/>
      <c r="O535" s="141"/>
      <c r="P535" s="140"/>
      <c r="Q535" s="140"/>
      <c r="R535" s="140"/>
      <c r="S535" s="140"/>
      <c r="T535" s="140"/>
      <c r="U535" s="140"/>
      <c r="V535" s="140"/>
      <c r="W535" s="140"/>
      <c r="X535" s="140"/>
      <c r="Y535" s="140"/>
      <c r="Z535" s="140"/>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1:91">
      <c r="A536" s="147"/>
      <c r="B536" s="147"/>
      <c r="C536" s="147"/>
      <c r="D536" s="147"/>
      <c r="E536" s="147"/>
      <c r="F536" s="147"/>
      <c r="G536" s="147"/>
      <c r="H536" s="147"/>
      <c r="I536" s="147"/>
      <c r="J536" s="147"/>
      <c r="K536" s="140"/>
      <c r="L536" s="140"/>
      <c r="M536" s="140"/>
      <c r="N536" s="140"/>
      <c r="O536" s="141"/>
      <c r="P536" s="140"/>
      <c r="Q536" s="140"/>
      <c r="R536" s="140"/>
      <c r="S536" s="140"/>
      <c r="T536" s="140"/>
      <c r="U536" s="140"/>
      <c r="V536" s="140"/>
      <c r="W536" s="140"/>
      <c r="X536" s="140"/>
      <c r="Y536" s="140"/>
      <c r="Z536" s="140"/>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1:91">
      <c r="A537" s="147"/>
      <c r="B537" s="147"/>
      <c r="C537" s="147"/>
      <c r="D537" s="147"/>
      <c r="E537" s="147"/>
      <c r="F537" s="147"/>
      <c r="G537" s="147"/>
      <c r="H537" s="147"/>
      <c r="I537" s="147"/>
      <c r="J537" s="147"/>
      <c r="K537" s="140"/>
      <c r="L537" s="140"/>
      <c r="M537" s="140"/>
      <c r="N537" s="140"/>
      <c r="O537" s="141"/>
      <c r="P537" s="140"/>
      <c r="Q537" s="140"/>
      <c r="R537" s="140"/>
      <c r="S537" s="140"/>
      <c r="T537" s="140"/>
      <c r="U537" s="140"/>
      <c r="V537" s="140"/>
      <c r="W537" s="140"/>
      <c r="X537" s="140"/>
      <c r="Y537" s="140"/>
      <c r="Z537" s="140"/>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1:91">
      <c r="A538" s="147"/>
      <c r="B538" s="147"/>
      <c r="C538" s="147"/>
      <c r="D538" s="147"/>
      <c r="E538" s="147"/>
      <c r="F538" s="147"/>
      <c r="G538" s="147"/>
      <c r="H538" s="147"/>
      <c r="I538" s="147"/>
      <c r="J538" s="147"/>
      <c r="K538" s="140"/>
      <c r="L538" s="140"/>
      <c r="M538" s="140"/>
      <c r="N538" s="140"/>
      <c r="O538" s="141"/>
      <c r="P538" s="140"/>
      <c r="Q538" s="140"/>
      <c r="R538" s="140"/>
      <c r="S538" s="140"/>
      <c r="T538" s="140"/>
      <c r="U538" s="140"/>
      <c r="V538" s="140"/>
      <c r="W538" s="140"/>
      <c r="X538" s="140"/>
      <c r="Y538" s="140"/>
      <c r="Z538" s="140"/>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1:91">
      <c r="A539" s="147"/>
      <c r="B539" s="147"/>
      <c r="C539" s="147"/>
      <c r="D539" s="147"/>
      <c r="E539" s="147"/>
      <c r="F539" s="147"/>
      <c r="G539" s="147"/>
      <c r="H539" s="147"/>
      <c r="I539" s="147"/>
      <c r="J539" s="147"/>
      <c r="K539" s="140"/>
      <c r="L539" s="140"/>
      <c r="M539" s="140"/>
      <c r="N539" s="140"/>
      <c r="O539" s="141"/>
      <c r="P539" s="140"/>
      <c r="Q539" s="140"/>
      <c r="R539" s="140"/>
      <c r="S539" s="140"/>
      <c r="T539" s="140"/>
      <c r="U539" s="140"/>
      <c r="V539" s="140"/>
      <c r="W539" s="140"/>
      <c r="X539" s="140"/>
      <c r="Y539" s="140"/>
      <c r="Z539" s="140"/>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1:91">
      <c r="A540" s="147"/>
      <c r="B540" s="147"/>
      <c r="C540" s="147"/>
      <c r="D540" s="147"/>
      <c r="E540" s="147"/>
      <c r="F540" s="147"/>
      <c r="G540" s="147"/>
      <c r="H540" s="147"/>
      <c r="I540" s="147"/>
      <c r="J540" s="147"/>
      <c r="K540" s="140"/>
      <c r="L540" s="140"/>
      <c r="M540" s="140"/>
      <c r="N540" s="140"/>
      <c r="O540" s="141"/>
      <c r="P540" s="140"/>
      <c r="Q540" s="140"/>
      <c r="R540" s="140"/>
      <c r="S540" s="140"/>
      <c r="T540" s="140"/>
      <c r="U540" s="140"/>
      <c r="V540" s="140"/>
      <c r="W540" s="140"/>
      <c r="X540" s="140"/>
      <c r="Y540" s="140"/>
      <c r="Z540" s="1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1:91">
      <c r="A541" s="147"/>
      <c r="B541" s="147"/>
      <c r="C541" s="147"/>
      <c r="D541" s="147"/>
      <c r="E541" s="147"/>
      <c r="F541" s="147"/>
      <c r="G541" s="147"/>
      <c r="H541" s="147"/>
      <c r="I541" s="147"/>
      <c r="J541" s="147"/>
      <c r="K541" s="140"/>
      <c r="L541" s="140"/>
      <c r="M541" s="140"/>
      <c r="N541" s="140"/>
      <c r="O541" s="141"/>
      <c r="P541" s="140"/>
      <c r="Q541" s="140"/>
      <c r="R541" s="140"/>
      <c r="S541" s="140"/>
      <c r="T541" s="140"/>
      <c r="U541" s="140"/>
      <c r="V541" s="140"/>
      <c r="W541" s="140"/>
      <c r="X541" s="140"/>
      <c r="Y541" s="140"/>
      <c r="Z541" s="140"/>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1:91">
      <c r="A542" s="147"/>
      <c r="B542" s="147"/>
      <c r="C542" s="147"/>
      <c r="D542" s="147"/>
      <c r="E542" s="147"/>
      <c r="F542" s="147"/>
      <c r="G542" s="147"/>
      <c r="H542" s="147"/>
      <c r="I542" s="147"/>
      <c r="J542" s="147"/>
      <c r="K542" s="140"/>
      <c r="L542" s="140"/>
      <c r="M542" s="140"/>
      <c r="N542" s="140"/>
      <c r="O542" s="141"/>
      <c r="P542" s="140"/>
      <c r="Q542" s="140"/>
      <c r="R542" s="140"/>
      <c r="S542" s="140"/>
      <c r="T542" s="140"/>
      <c r="U542" s="140"/>
      <c r="V542" s="140"/>
      <c r="W542" s="140"/>
      <c r="X542" s="140"/>
      <c r="Y542" s="140"/>
      <c r="Z542" s="140"/>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1:91">
      <c r="A543" s="147"/>
      <c r="B543" s="147"/>
      <c r="C543" s="147"/>
      <c r="D543" s="147"/>
      <c r="E543" s="147"/>
      <c r="F543" s="147"/>
      <c r="G543" s="147"/>
      <c r="H543" s="147"/>
      <c r="I543" s="147"/>
      <c r="J543" s="147"/>
      <c r="K543" s="140"/>
      <c r="L543" s="140"/>
      <c r="M543" s="140"/>
      <c r="N543" s="140"/>
      <c r="O543" s="141"/>
      <c r="P543" s="140"/>
      <c r="Q543" s="140"/>
      <c r="R543" s="140"/>
      <c r="S543" s="140"/>
      <c r="T543" s="140"/>
      <c r="U543" s="140"/>
      <c r="V543" s="140"/>
      <c r="W543" s="140"/>
      <c r="X543" s="140"/>
      <c r="Y543" s="140"/>
      <c r="Z543" s="140"/>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1:91">
      <c r="A544" s="147"/>
      <c r="B544" s="147"/>
      <c r="C544" s="147"/>
      <c r="D544" s="147"/>
      <c r="E544" s="147"/>
      <c r="F544" s="147"/>
      <c r="G544" s="147"/>
      <c r="H544" s="147"/>
      <c r="I544" s="147"/>
      <c r="J544" s="147"/>
      <c r="K544" s="140"/>
      <c r="L544" s="140"/>
      <c r="M544" s="140"/>
      <c r="N544" s="140"/>
      <c r="O544" s="141"/>
      <c r="P544" s="140"/>
      <c r="Q544" s="140"/>
      <c r="R544" s="140"/>
      <c r="S544" s="140"/>
      <c r="T544" s="140"/>
      <c r="U544" s="140"/>
      <c r="V544" s="140"/>
      <c r="W544" s="140"/>
      <c r="X544" s="140"/>
      <c r="Y544" s="140"/>
      <c r="Z544" s="140"/>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1:91">
      <c r="A545" s="147"/>
      <c r="B545" s="147"/>
      <c r="C545" s="147"/>
      <c r="D545" s="147"/>
      <c r="E545" s="147"/>
      <c r="F545" s="147"/>
      <c r="G545" s="147"/>
      <c r="H545" s="147"/>
      <c r="I545" s="147"/>
      <c r="J545" s="147"/>
      <c r="K545" s="140"/>
      <c r="L545" s="140"/>
      <c r="M545" s="140"/>
      <c r="N545" s="140"/>
      <c r="O545" s="141"/>
      <c r="P545" s="140"/>
      <c r="Q545" s="140"/>
      <c r="R545" s="140"/>
      <c r="S545" s="140"/>
      <c r="T545" s="140"/>
      <c r="U545" s="140"/>
      <c r="V545" s="140"/>
      <c r="W545" s="140"/>
      <c r="X545" s="140"/>
      <c r="Y545" s="140"/>
      <c r="Z545" s="140"/>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1:91">
      <c r="A546" s="147"/>
      <c r="B546" s="147"/>
      <c r="C546" s="147"/>
      <c r="D546" s="147"/>
      <c r="E546" s="147"/>
      <c r="F546" s="147"/>
      <c r="G546" s="147"/>
      <c r="H546" s="147"/>
      <c r="I546" s="147"/>
      <c r="J546" s="147"/>
      <c r="K546" s="140"/>
      <c r="L546" s="140"/>
      <c r="M546" s="140"/>
      <c r="N546" s="140"/>
      <c r="O546" s="141"/>
      <c r="P546" s="140"/>
      <c r="Q546" s="140"/>
      <c r="R546" s="140"/>
      <c r="S546" s="140"/>
      <c r="T546" s="140"/>
      <c r="U546" s="140"/>
      <c r="V546" s="140"/>
      <c r="W546" s="140"/>
      <c r="X546" s="140"/>
      <c r="Y546" s="140"/>
      <c r="Z546" s="140"/>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1:91">
      <c r="A547" s="147"/>
      <c r="B547" s="147"/>
      <c r="C547" s="147"/>
      <c r="D547" s="147"/>
      <c r="E547" s="147"/>
      <c r="F547" s="147"/>
      <c r="G547" s="147"/>
      <c r="H547" s="147"/>
      <c r="I547" s="147"/>
      <c r="J547" s="147"/>
      <c r="K547" s="140"/>
      <c r="L547" s="140"/>
      <c r="M547" s="140"/>
      <c r="N547" s="140"/>
      <c r="O547" s="141"/>
      <c r="P547" s="140"/>
      <c r="Q547" s="140"/>
      <c r="R547" s="140"/>
      <c r="S547" s="140"/>
      <c r="T547" s="140"/>
      <c r="U547" s="140"/>
      <c r="V547" s="140"/>
      <c r="W547" s="140"/>
      <c r="X547" s="140"/>
      <c r="Y547" s="140"/>
      <c r="Z547" s="140"/>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1:91">
      <c r="A548" s="147"/>
      <c r="B548" s="147"/>
      <c r="C548" s="147"/>
      <c r="D548" s="147"/>
      <c r="E548" s="147"/>
      <c r="F548" s="147"/>
      <c r="G548" s="147"/>
      <c r="H548" s="147"/>
      <c r="I548" s="147"/>
      <c r="J548" s="147"/>
      <c r="K548" s="140"/>
      <c r="L548" s="140"/>
      <c r="M548" s="140"/>
      <c r="N548" s="140"/>
      <c r="O548" s="141"/>
      <c r="P548" s="140"/>
      <c r="Q548" s="140"/>
      <c r="R548" s="140"/>
      <c r="S548" s="140"/>
      <c r="T548" s="140"/>
      <c r="U548" s="140"/>
      <c r="V548" s="140"/>
      <c r="W548" s="140"/>
      <c r="X548" s="140"/>
      <c r="Y548" s="140"/>
      <c r="Z548" s="140"/>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1:91">
      <c r="A549" s="147"/>
      <c r="B549" s="147"/>
      <c r="C549" s="147"/>
      <c r="D549" s="147"/>
      <c r="E549" s="147"/>
      <c r="F549" s="147"/>
      <c r="G549" s="147"/>
      <c r="H549" s="147"/>
      <c r="I549" s="147"/>
      <c r="J549" s="147"/>
      <c r="K549" s="140"/>
      <c r="L549" s="140"/>
      <c r="M549" s="140"/>
      <c r="N549" s="140"/>
      <c r="O549" s="141"/>
      <c r="P549" s="140"/>
      <c r="Q549" s="140"/>
      <c r="R549" s="140"/>
      <c r="S549" s="140"/>
      <c r="T549" s="140"/>
      <c r="U549" s="140"/>
      <c r="V549" s="140"/>
      <c r="W549" s="140"/>
      <c r="X549" s="140"/>
      <c r="Y549" s="140"/>
      <c r="Z549" s="140"/>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1:91">
      <c r="A550" s="147"/>
      <c r="B550" s="147"/>
      <c r="C550" s="147"/>
      <c r="D550" s="147"/>
      <c r="E550" s="147"/>
      <c r="F550" s="147"/>
      <c r="G550" s="147"/>
      <c r="H550" s="147"/>
      <c r="I550" s="147"/>
      <c r="J550" s="147"/>
      <c r="K550" s="140"/>
      <c r="L550" s="140"/>
      <c r="M550" s="140"/>
      <c r="N550" s="140"/>
      <c r="O550" s="141"/>
      <c r="P550" s="140"/>
      <c r="Q550" s="140"/>
      <c r="R550" s="140"/>
      <c r="S550" s="140"/>
      <c r="T550" s="140"/>
      <c r="U550" s="140"/>
      <c r="V550" s="140"/>
      <c r="W550" s="140"/>
      <c r="X550" s="140"/>
      <c r="Y550" s="140"/>
      <c r="Z550" s="14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1:91">
      <c r="A551" s="147"/>
      <c r="B551" s="147"/>
      <c r="C551" s="147"/>
      <c r="D551" s="147"/>
      <c r="E551" s="147"/>
      <c r="F551" s="147"/>
      <c r="G551" s="147"/>
      <c r="H551" s="147"/>
      <c r="I551" s="147"/>
      <c r="J551" s="147"/>
      <c r="K551" s="140"/>
      <c r="L551" s="140"/>
      <c r="M551" s="140"/>
      <c r="N551" s="140"/>
      <c r="O551" s="141"/>
      <c r="P551" s="140"/>
      <c r="Q551" s="140"/>
      <c r="R551" s="140"/>
      <c r="S551" s="140"/>
      <c r="T551" s="140"/>
      <c r="U551" s="140"/>
      <c r="V551" s="140"/>
      <c r="W551" s="140"/>
      <c r="X551" s="140"/>
      <c r="Y551" s="140"/>
      <c r="Z551" s="140"/>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1:91">
      <c r="A552" s="147"/>
      <c r="B552" s="147"/>
      <c r="C552" s="147"/>
      <c r="D552" s="147"/>
      <c r="E552" s="147"/>
      <c r="F552" s="147"/>
      <c r="G552" s="147"/>
      <c r="H552" s="147"/>
      <c r="I552" s="147"/>
      <c r="J552" s="147"/>
      <c r="K552" s="140"/>
      <c r="L552" s="140"/>
      <c r="M552" s="140"/>
      <c r="N552" s="140"/>
      <c r="O552" s="141"/>
      <c r="P552" s="140"/>
      <c r="Q552" s="140"/>
      <c r="R552" s="140"/>
      <c r="S552" s="140"/>
      <c r="T552" s="140"/>
      <c r="U552" s="140"/>
      <c r="V552" s="140"/>
      <c r="W552" s="140"/>
      <c r="X552" s="140"/>
      <c r="Y552" s="140"/>
      <c r="Z552" s="140"/>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1:91">
      <c r="A553" s="147"/>
      <c r="B553" s="147"/>
      <c r="C553" s="147"/>
      <c r="D553" s="147"/>
      <c r="E553" s="147"/>
      <c r="F553" s="147"/>
      <c r="G553" s="147"/>
      <c r="H553" s="147"/>
      <c r="I553" s="147"/>
      <c r="J553" s="147"/>
      <c r="K553" s="140"/>
      <c r="L553" s="140"/>
      <c r="M553" s="140"/>
      <c r="N553" s="140"/>
      <c r="O553" s="141"/>
      <c r="P553" s="140"/>
      <c r="Q553" s="140"/>
      <c r="R553" s="140"/>
      <c r="S553" s="140"/>
      <c r="T553" s="140"/>
      <c r="U553" s="140"/>
      <c r="V553" s="140"/>
      <c r="W553" s="140"/>
      <c r="X553" s="140"/>
      <c r="Y553" s="140"/>
      <c r="Z553" s="140"/>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1:91">
      <c r="A554" s="147"/>
      <c r="B554" s="147"/>
      <c r="C554" s="147"/>
      <c r="D554" s="147"/>
      <c r="E554" s="147"/>
      <c r="F554" s="147"/>
      <c r="G554" s="147"/>
      <c r="H554" s="147"/>
      <c r="I554" s="147"/>
      <c r="J554" s="147"/>
      <c r="K554" s="140"/>
      <c r="L554" s="140"/>
      <c r="M554" s="140"/>
      <c r="N554" s="140"/>
      <c r="O554" s="141"/>
      <c r="P554" s="140"/>
      <c r="Q554" s="140"/>
      <c r="R554" s="140"/>
      <c r="S554" s="140"/>
      <c r="T554" s="140"/>
      <c r="U554" s="140"/>
      <c r="V554" s="140"/>
      <c r="W554" s="140"/>
      <c r="X554" s="140"/>
      <c r="Y554" s="140"/>
      <c r="Z554" s="140"/>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1:91">
      <c r="A555" s="147"/>
      <c r="B555" s="147"/>
      <c r="C555" s="147"/>
      <c r="D555" s="147"/>
      <c r="E555" s="147"/>
      <c r="F555" s="147"/>
      <c r="G555" s="147"/>
      <c r="H555" s="147"/>
      <c r="I555" s="147"/>
      <c r="J555" s="147"/>
      <c r="K555" s="140"/>
      <c r="L555" s="140"/>
      <c r="M555" s="140"/>
      <c r="N555" s="140"/>
      <c r="O555" s="141"/>
      <c r="P555" s="140"/>
      <c r="Q555" s="140"/>
      <c r="R555" s="140"/>
      <c r="S555" s="140"/>
      <c r="T555" s="140"/>
      <c r="U555" s="140"/>
      <c r="V555" s="140"/>
      <c r="W555" s="140"/>
      <c r="X555" s="140"/>
      <c r="Y555" s="140"/>
      <c r="Z555" s="140"/>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1:91">
      <c r="A556" s="147"/>
      <c r="B556" s="147"/>
      <c r="C556" s="147"/>
      <c r="D556" s="147"/>
      <c r="E556" s="147"/>
      <c r="F556" s="147"/>
      <c r="G556" s="147"/>
      <c r="H556" s="147"/>
      <c r="I556" s="147"/>
      <c r="J556" s="147"/>
      <c r="K556" s="140"/>
      <c r="L556" s="140"/>
      <c r="M556" s="140"/>
      <c r="N556" s="140"/>
      <c r="O556" s="141"/>
      <c r="P556" s="140"/>
      <c r="Q556" s="140"/>
      <c r="R556" s="140"/>
      <c r="S556" s="140"/>
      <c r="T556" s="140"/>
      <c r="U556" s="140"/>
      <c r="V556" s="140"/>
      <c r="W556" s="140"/>
      <c r="X556" s="140"/>
      <c r="Y556" s="140"/>
      <c r="Z556" s="140"/>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1:91">
      <c r="A557" s="147"/>
      <c r="B557" s="147"/>
      <c r="C557" s="147"/>
      <c r="D557" s="147"/>
      <c r="E557" s="147"/>
      <c r="F557" s="147"/>
      <c r="G557" s="147"/>
      <c r="H557" s="147"/>
      <c r="I557" s="147"/>
      <c r="J557" s="147"/>
      <c r="K557" s="140"/>
      <c r="L557" s="140"/>
      <c r="M557" s="140"/>
      <c r="N557" s="140"/>
      <c r="O557" s="141"/>
      <c r="P557" s="140"/>
      <c r="Q557" s="140"/>
      <c r="R557" s="140"/>
      <c r="S557" s="140"/>
      <c r="T557" s="140"/>
      <c r="U557" s="140"/>
      <c r="V557" s="140"/>
      <c r="W557" s="140"/>
      <c r="X557" s="140"/>
      <c r="Y557" s="140"/>
      <c r="Z557" s="140"/>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1:91">
      <c r="A558" s="147"/>
      <c r="B558" s="147"/>
      <c r="C558" s="147"/>
      <c r="D558" s="147"/>
      <c r="E558" s="147"/>
      <c r="F558" s="147"/>
      <c r="G558" s="147"/>
      <c r="H558" s="147"/>
      <c r="I558" s="147"/>
      <c r="J558" s="147"/>
      <c r="K558" s="140"/>
      <c r="L558" s="140"/>
      <c r="M558" s="140"/>
      <c r="N558" s="140"/>
      <c r="O558" s="141"/>
      <c r="P558" s="140"/>
      <c r="Q558" s="140"/>
      <c r="R558" s="140"/>
      <c r="S558" s="140"/>
      <c r="T558" s="140"/>
      <c r="U558" s="140"/>
      <c r="V558" s="140"/>
      <c r="W558" s="140"/>
      <c r="X558" s="140"/>
      <c r="Y558" s="140"/>
      <c r="Z558" s="140"/>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1:91">
      <c r="A559" s="147"/>
      <c r="B559" s="147"/>
      <c r="C559" s="147"/>
      <c r="D559" s="147"/>
      <c r="E559" s="147"/>
      <c r="F559" s="147"/>
      <c r="G559" s="147"/>
      <c r="H559" s="147"/>
      <c r="I559" s="147"/>
      <c r="J559" s="147"/>
      <c r="K559" s="140"/>
      <c r="L559" s="140"/>
      <c r="M559" s="140"/>
      <c r="N559" s="140"/>
      <c r="O559" s="141"/>
      <c r="P559" s="140"/>
      <c r="Q559" s="140"/>
      <c r="R559" s="140"/>
      <c r="S559" s="140"/>
      <c r="T559" s="140"/>
      <c r="U559" s="140"/>
      <c r="V559" s="140"/>
      <c r="W559" s="140"/>
      <c r="X559" s="140"/>
      <c r="Y559" s="140"/>
      <c r="Z559" s="140"/>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1:91">
      <c r="A560" s="147"/>
      <c r="B560" s="147"/>
      <c r="C560" s="147"/>
      <c r="D560" s="147"/>
      <c r="E560" s="147"/>
      <c r="F560" s="147"/>
      <c r="G560" s="147"/>
      <c r="H560" s="147"/>
      <c r="I560" s="147"/>
      <c r="J560" s="147"/>
      <c r="K560" s="140"/>
      <c r="L560" s="140"/>
      <c r="M560" s="140"/>
      <c r="N560" s="140"/>
      <c r="O560" s="141"/>
      <c r="P560" s="140"/>
      <c r="Q560" s="140"/>
      <c r="R560" s="140"/>
      <c r="S560" s="140"/>
      <c r="T560" s="140"/>
      <c r="U560" s="140"/>
      <c r="V560" s="140"/>
      <c r="W560" s="140"/>
      <c r="X560" s="140"/>
      <c r="Y560" s="140"/>
      <c r="Z560" s="14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1:91">
      <c r="A561" s="147"/>
      <c r="B561" s="147"/>
      <c r="C561" s="147"/>
      <c r="D561" s="147"/>
      <c r="E561" s="147"/>
      <c r="F561" s="147"/>
      <c r="G561" s="147"/>
      <c r="H561" s="147"/>
      <c r="I561" s="147"/>
      <c r="J561" s="147"/>
      <c r="K561" s="140"/>
      <c r="L561" s="140"/>
      <c r="M561" s="140"/>
      <c r="N561" s="140"/>
      <c r="O561" s="141"/>
      <c r="P561" s="140"/>
      <c r="Q561" s="140"/>
      <c r="R561" s="140"/>
      <c r="S561" s="140"/>
      <c r="T561" s="140"/>
      <c r="U561" s="140"/>
      <c r="V561" s="140"/>
      <c r="W561" s="140"/>
      <c r="X561" s="140"/>
      <c r="Y561" s="140"/>
      <c r="Z561" s="140"/>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1:91">
      <c r="A562" s="147"/>
      <c r="B562" s="147"/>
      <c r="C562" s="147"/>
      <c r="D562" s="147"/>
      <c r="E562" s="147"/>
      <c r="F562" s="147"/>
      <c r="G562" s="147"/>
      <c r="H562" s="147"/>
      <c r="I562" s="147"/>
      <c r="J562" s="147"/>
      <c r="K562" s="140"/>
      <c r="L562" s="140"/>
      <c r="M562" s="140"/>
      <c r="N562" s="140"/>
      <c r="O562" s="141"/>
      <c r="P562" s="140"/>
      <c r="Q562" s="140"/>
      <c r="R562" s="140"/>
      <c r="S562" s="140"/>
      <c r="T562" s="140"/>
      <c r="U562" s="140"/>
      <c r="V562" s="140"/>
      <c r="W562" s="140"/>
      <c r="X562" s="140"/>
      <c r="Y562" s="140"/>
      <c r="Z562" s="140"/>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1:91">
      <c r="A563" s="147"/>
      <c r="B563" s="147"/>
      <c r="C563" s="147"/>
      <c r="D563" s="147"/>
      <c r="E563" s="147"/>
      <c r="F563" s="147"/>
      <c r="G563" s="147"/>
      <c r="H563" s="147"/>
      <c r="I563" s="147"/>
      <c r="J563" s="147"/>
      <c r="K563" s="140"/>
      <c r="L563" s="140"/>
      <c r="M563" s="140"/>
      <c r="N563" s="140"/>
      <c r="O563" s="141"/>
      <c r="P563" s="140"/>
      <c r="Q563" s="140"/>
      <c r="R563" s="140"/>
      <c r="S563" s="140"/>
      <c r="T563" s="140"/>
      <c r="U563" s="140"/>
      <c r="V563" s="140"/>
      <c r="W563" s="140"/>
      <c r="X563" s="140"/>
      <c r="Y563" s="140"/>
      <c r="Z563" s="140"/>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1:91">
      <c r="A564" s="147"/>
      <c r="B564" s="147"/>
      <c r="C564" s="147"/>
      <c r="D564" s="147"/>
      <c r="E564" s="147"/>
      <c r="F564" s="147"/>
      <c r="G564" s="147"/>
      <c r="H564" s="147"/>
      <c r="I564" s="147"/>
      <c r="J564" s="147"/>
      <c r="K564" s="140"/>
      <c r="L564" s="140"/>
      <c r="M564" s="140"/>
      <c r="N564" s="140"/>
      <c r="O564" s="141"/>
      <c r="P564" s="140"/>
      <c r="Q564" s="140"/>
      <c r="R564" s="140"/>
      <c r="S564" s="140"/>
      <c r="T564" s="140"/>
      <c r="U564" s="140"/>
      <c r="V564" s="140"/>
      <c r="W564" s="140"/>
      <c r="X564" s="140"/>
      <c r="Y564" s="140"/>
      <c r="Z564" s="140"/>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1:91">
      <c r="A565" s="147"/>
      <c r="B565" s="147"/>
      <c r="C565" s="147"/>
      <c r="D565" s="147"/>
      <c r="E565" s="147"/>
      <c r="F565" s="147"/>
      <c r="G565" s="147"/>
      <c r="H565" s="147"/>
      <c r="I565" s="147"/>
      <c r="J565" s="147"/>
      <c r="K565" s="140"/>
      <c r="L565" s="140"/>
      <c r="M565" s="140"/>
      <c r="N565" s="140"/>
      <c r="O565" s="141"/>
      <c r="P565" s="140"/>
      <c r="Q565" s="140"/>
      <c r="R565" s="140"/>
      <c r="S565" s="140"/>
      <c r="T565" s="140"/>
      <c r="U565" s="140"/>
      <c r="V565" s="140"/>
      <c r="W565" s="140"/>
      <c r="X565" s="140"/>
      <c r="Y565" s="140"/>
      <c r="Z565" s="140"/>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1:91">
      <c r="A566" s="147"/>
      <c r="B566" s="147"/>
      <c r="C566" s="147"/>
      <c r="D566" s="147"/>
      <c r="E566" s="147"/>
      <c r="F566" s="147"/>
      <c r="G566" s="147"/>
      <c r="H566" s="147"/>
      <c r="I566" s="147"/>
      <c r="J566" s="147"/>
      <c r="K566" s="140"/>
      <c r="L566" s="140"/>
      <c r="M566" s="140"/>
      <c r="N566" s="140"/>
      <c r="O566" s="141"/>
      <c r="P566" s="140"/>
      <c r="Q566" s="140"/>
      <c r="R566" s="140"/>
      <c r="S566" s="140"/>
      <c r="T566" s="140"/>
      <c r="U566" s="140"/>
      <c r="V566" s="140"/>
      <c r="W566" s="140"/>
      <c r="X566" s="140"/>
      <c r="Y566" s="140"/>
      <c r="Z566" s="140"/>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1:91">
      <c r="A567" s="147"/>
      <c r="B567" s="147"/>
      <c r="C567" s="147"/>
      <c r="D567" s="147"/>
      <c r="E567" s="147"/>
      <c r="F567" s="147"/>
      <c r="G567" s="147"/>
      <c r="H567" s="147"/>
      <c r="I567" s="147"/>
      <c r="J567" s="147"/>
      <c r="K567" s="140"/>
      <c r="L567" s="140"/>
      <c r="M567" s="140"/>
      <c r="N567" s="140"/>
      <c r="O567" s="141"/>
      <c r="P567" s="140"/>
      <c r="Q567" s="140"/>
      <c r="R567" s="140"/>
      <c r="S567" s="140"/>
      <c r="T567" s="140"/>
      <c r="U567" s="140"/>
      <c r="V567" s="140"/>
      <c r="W567" s="140"/>
      <c r="X567" s="140"/>
      <c r="Y567" s="140"/>
      <c r="Z567" s="140"/>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1:91">
      <c r="A568" s="147"/>
      <c r="B568" s="147"/>
      <c r="C568" s="147"/>
      <c r="D568" s="147"/>
      <c r="E568" s="147"/>
      <c r="F568" s="147"/>
      <c r="G568" s="147"/>
      <c r="H568" s="147"/>
      <c r="I568" s="147"/>
      <c r="J568" s="147"/>
      <c r="K568" s="140"/>
      <c r="L568" s="140"/>
      <c r="M568" s="140"/>
      <c r="N568" s="140"/>
      <c r="O568" s="141"/>
      <c r="P568" s="140"/>
      <c r="Q568" s="140"/>
      <c r="R568" s="140"/>
      <c r="S568" s="140"/>
      <c r="T568" s="140"/>
      <c r="U568" s="140"/>
      <c r="V568" s="140"/>
      <c r="W568" s="140"/>
      <c r="X568" s="140"/>
      <c r="Y568" s="140"/>
      <c r="Z568" s="140"/>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1:91">
      <c r="A569" s="147"/>
      <c r="B569" s="147"/>
      <c r="C569" s="147"/>
      <c r="D569" s="147"/>
      <c r="E569" s="147"/>
      <c r="F569" s="147"/>
      <c r="G569" s="147"/>
      <c r="H569" s="147"/>
      <c r="I569" s="147"/>
      <c r="J569" s="147"/>
      <c r="K569" s="140"/>
      <c r="L569" s="140"/>
      <c r="M569" s="140"/>
      <c r="N569" s="140"/>
      <c r="O569" s="141"/>
      <c r="P569" s="140"/>
      <c r="Q569" s="140"/>
      <c r="R569" s="140"/>
      <c r="S569" s="140"/>
      <c r="T569" s="140"/>
      <c r="U569" s="140"/>
      <c r="V569" s="140"/>
      <c r="W569" s="140"/>
      <c r="X569" s="140"/>
      <c r="Y569" s="140"/>
      <c r="Z569" s="140"/>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1:91">
      <c r="A570" s="147"/>
      <c r="B570" s="147"/>
      <c r="C570" s="147"/>
      <c r="D570" s="147"/>
      <c r="E570" s="147"/>
      <c r="F570" s="147"/>
      <c r="G570" s="147"/>
      <c r="H570" s="147"/>
      <c r="I570" s="147"/>
      <c r="J570" s="147"/>
      <c r="K570" s="140"/>
      <c r="L570" s="140"/>
      <c r="M570" s="140"/>
      <c r="N570" s="140"/>
      <c r="O570" s="141"/>
      <c r="P570" s="140"/>
      <c r="Q570" s="140"/>
      <c r="R570" s="140"/>
      <c r="S570" s="140"/>
      <c r="T570" s="140"/>
      <c r="U570" s="140"/>
      <c r="V570" s="140"/>
      <c r="W570" s="140"/>
      <c r="X570" s="140"/>
      <c r="Y570" s="140"/>
      <c r="Z570" s="14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1:91">
      <c r="A571" s="147"/>
      <c r="B571" s="147"/>
      <c r="C571" s="147"/>
      <c r="D571" s="147"/>
      <c r="E571" s="147"/>
      <c r="F571" s="147"/>
      <c r="G571" s="147"/>
      <c r="H571" s="147"/>
      <c r="I571" s="147"/>
      <c r="J571" s="147"/>
      <c r="K571" s="140"/>
      <c r="L571" s="140"/>
      <c r="M571" s="140"/>
      <c r="N571" s="140"/>
      <c r="O571" s="141"/>
      <c r="P571" s="140"/>
      <c r="Q571" s="140"/>
      <c r="R571" s="140"/>
      <c r="S571" s="140"/>
      <c r="T571" s="140"/>
      <c r="U571" s="140"/>
      <c r="V571" s="140"/>
      <c r="W571" s="140"/>
      <c r="X571" s="140"/>
      <c r="Y571" s="140"/>
      <c r="Z571" s="140"/>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1:91">
      <c r="A572" s="147"/>
      <c r="B572" s="147"/>
      <c r="C572" s="147"/>
      <c r="D572" s="147"/>
      <c r="E572" s="147"/>
      <c r="F572" s="147"/>
      <c r="G572" s="147"/>
      <c r="H572" s="147"/>
      <c r="I572" s="147"/>
      <c r="J572" s="147"/>
      <c r="K572" s="140"/>
      <c r="L572" s="140"/>
      <c r="M572" s="140"/>
      <c r="N572" s="140"/>
      <c r="O572" s="141"/>
      <c r="P572" s="140"/>
      <c r="Q572" s="140"/>
      <c r="R572" s="140"/>
      <c r="S572" s="140"/>
      <c r="T572" s="140"/>
      <c r="U572" s="140"/>
      <c r="V572" s="140"/>
      <c r="W572" s="140"/>
      <c r="X572" s="140"/>
      <c r="Y572" s="140"/>
      <c r="Z572" s="140"/>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1:91">
      <c r="A573" s="147"/>
      <c r="B573" s="147"/>
      <c r="C573" s="147"/>
      <c r="D573" s="147"/>
      <c r="E573" s="147"/>
      <c r="F573" s="147"/>
      <c r="G573" s="147"/>
      <c r="H573" s="147"/>
      <c r="I573" s="147"/>
      <c r="J573" s="147"/>
      <c r="K573" s="140"/>
      <c r="L573" s="140"/>
      <c r="M573" s="140"/>
      <c r="N573" s="140"/>
      <c r="O573" s="141"/>
      <c r="P573" s="140"/>
      <c r="Q573" s="140"/>
      <c r="R573" s="140"/>
      <c r="S573" s="140"/>
      <c r="T573" s="140"/>
      <c r="U573" s="140"/>
      <c r="V573" s="140"/>
      <c r="W573" s="140"/>
      <c r="X573" s="140"/>
      <c r="Y573" s="140"/>
      <c r="Z573" s="140"/>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1:91">
      <c r="A574" s="147"/>
      <c r="B574" s="147"/>
      <c r="C574" s="147"/>
      <c r="D574" s="147"/>
      <c r="E574" s="147"/>
      <c r="F574" s="147"/>
      <c r="G574" s="147"/>
      <c r="H574" s="147"/>
      <c r="I574" s="147"/>
      <c r="J574" s="147"/>
      <c r="K574" s="140"/>
      <c r="L574" s="140"/>
      <c r="M574" s="140"/>
      <c r="N574" s="140"/>
      <c r="O574" s="141"/>
      <c r="P574" s="140"/>
      <c r="Q574" s="140"/>
      <c r="R574" s="140"/>
      <c r="S574" s="140"/>
      <c r="T574" s="140"/>
      <c r="U574" s="140"/>
      <c r="V574" s="140"/>
      <c r="W574" s="140"/>
      <c r="X574" s="140"/>
      <c r="Y574" s="140"/>
      <c r="Z574" s="140"/>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1:91">
      <c r="A575" s="147"/>
      <c r="B575" s="147"/>
      <c r="C575" s="147"/>
      <c r="D575" s="147"/>
      <c r="E575" s="147"/>
      <c r="F575" s="147"/>
      <c r="G575" s="147"/>
      <c r="H575" s="147"/>
      <c r="I575" s="147"/>
      <c r="J575" s="147"/>
      <c r="K575" s="140"/>
      <c r="L575" s="140"/>
      <c r="M575" s="140"/>
      <c r="N575" s="140"/>
      <c r="O575" s="141"/>
      <c r="P575" s="140"/>
      <c r="Q575" s="140"/>
      <c r="R575" s="140"/>
      <c r="S575" s="140"/>
      <c r="T575" s="140"/>
      <c r="U575" s="140"/>
      <c r="V575" s="140"/>
      <c r="W575" s="140"/>
      <c r="X575" s="140"/>
      <c r="Y575" s="140"/>
      <c r="Z575" s="140"/>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1:91">
      <c r="A576" s="147"/>
      <c r="B576" s="147"/>
      <c r="C576" s="147"/>
      <c r="D576" s="147"/>
      <c r="E576" s="147"/>
      <c r="F576" s="147"/>
      <c r="G576" s="147"/>
      <c r="H576" s="147"/>
      <c r="I576" s="147"/>
      <c r="J576" s="147"/>
      <c r="K576" s="140"/>
      <c r="L576" s="140"/>
      <c r="M576" s="140"/>
      <c r="N576" s="140"/>
      <c r="O576" s="141"/>
      <c r="P576" s="140"/>
      <c r="Q576" s="140"/>
      <c r="R576" s="140"/>
      <c r="S576" s="140"/>
      <c r="T576" s="140"/>
      <c r="U576" s="140"/>
      <c r="V576" s="140"/>
      <c r="W576" s="140"/>
      <c r="X576" s="140"/>
      <c r="Y576" s="140"/>
      <c r="Z576" s="140"/>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1:91">
      <c r="A577" s="147"/>
      <c r="B577" s="147"/>
      <c r="C577" s="147"/>
      <c r="D577" s="147"/>
      <c r="E577" s="147"/>
      <c r="F577" s="147"/>
      <c r="G577" s="147"/>
      <c r="H577" s="147"/>
      <c r="I577" s="147"/>
      <c r="J577" s="147"/>
      <c r="K577" s="140"/>
      <c r="L577" s="140"/>
      <c r="M577" s="140"/>
      <c r="N577" s="140"/>
      <c r="O577" s="141"/>
      <c r="P577" s="140"/>
      <c r="Q577" s="140"/>
      <c r="R577" s="140"/>
      <c r="S577" s="140"/>
      <c r="T577" s="140"/>
      <c r="U577" s="140"/>
      <c r="V577" s="140"/>
      <c r="W577" s="140"/>
      <c r="X577" s="140"/>
      <c r="Y577" s="140"/>
      <c r="Z577" s="140"/>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1:91">
      <c r="A578" s="147"/>
      <c r="B578" s="147"/>
      <c r="C578" s="147"/>
      <c r="D578" s="147"/>
      <c r="E578" s="147"/>
      <c r="F578" s="147"/>
      <c r="G578" s="147"/>
      <c r="H578" s="147"/>
      <c r="I578" s="147"/>
      <c r="J578" s="147"/>
      <c r="K578" s="140"/>
      <c r="L578" s="140"/>
      <c r="M578" s="140"/>
      <c r="N578" s="140"/>
      <c r="O578" s="141"/>
      <c r="P578" s="140"/>
      <c r="Q578" s="140"/>
      <c r="R578" s="140"/>
      <c r="S578" s="140"/>
      <c r="T578" s="140"/>
      <c r="U578" s="140"/>
      <c r="V578" s="140"/>
      <c r="W578" s="140"/>
      <c r="X578" s="140"/>
      <c r="Y578" s="140"/>
      <c r="Z578" s="140"/>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1:91">
      <c r="A579" s="147"/>
      <c r="B579" s="147"/>
      <c r="C579" s="147"/>
      <c r="D579" s="147"/>
      <c r="E579" s="147"/>
      <c r="F579" s="147"/>
      <c r="G579" s="147"/>
      <c r="H579" s="147"/>
      <c r="I579" s="147"/>
      <c r="J579" s="147"/>
      <c r="K579" s="140"/>
      <c r="L579" s="140"/>
      <c r="M579" s="140"/>
      <c r="N579" s="140"/>
      <c r="O579" s="141"/>
      <c r="P579" s="140"/>
      <c r="Q579" s="140"/>
      <c r="R579" s="140"/>
      <c r="S579" s="140"/>
      <c r="T579" s="140"/>
      <c r="U579" s="140"/>
      <c r="V579" s="140"/>
      <c r="W579" s="140"/>
      <c r="X579" s="140"/>
      <c r="Y579" s="140"/>
      <c r="Z579" s="140"/>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1:91">
      <c r="A580" s="147"/>
      <c r="B580" s="147"/>
      <c r="C580" s="147"/>
      <c r="D580" s="147"/>
      <c r="E580" s="147"/>
      <c r="F580" s="147"/>
      <c r="G580" s="147"/>
      <c r="H580" s="147"/>
      <c r="I580" s="147"/>
      <c r="J580" s="147"/>
      <c r="K580" s="140"/>
      <c r="L580" s="140"/>
      <c r="M580" s="140"/>
      <c r="N580" s="140"/>
      <c r="O580" s="141"/>
      <c r="P580" s="140"/>
      <c r="Q580" s="140"/>
      <c r="R580" s="140"/>
      <c r="S580" s="140"/>
      <c r="T580" s="140"/>
      <c r="U580" s="140"/>
      <c r="V580" s="140"/>
      <c r="W580" s="140"/>
      <c r="X580" s="140"/>
      <c r="Y580" s="140"/>
      <c r="Z580" s="14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1:91">
      <c r="A581" s="147"/>
      <c r="B581" s="147"/>
      <c r="C581" s="147"/>
      <c r="D581" s="147"/>
      <c r="E581" s="147"/>
      <c r="F581" s="147"/>
      <c r="G581" s="147"/>
      <c r="H581" s="147"/>
      <c r="I581" s="147"/>
      <c r="J581" s="147"/>
      <c r="K581" s="140"/>
      <c r="L581" s="140"/>
      <c r="M581" s="140"/>
      <c r="N581" s="140"/>
      <c r="O581" s="141"/>
      <c r="P581" s="140"/>
      <c r="Q581" s="140"/>
      <c r="R581" s="140"/>
      <c r="S581" s="140"/>
      <c r="T581" s="140"/>
      <c r="U581" s="140"/>
      <c r="V581" s="140"/>
      <c r="W581" s="140"/>
      <c r="X581" s="140"/>
      <c r="Y581" s="140"/>
      <c r="Z581" s="140"/>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1:91">
      <c r="A582" s="147"/>
      <c r="B582" s="147"/>
      <c r="C582" s="147"/>
      <c r="D582" s="147"/>
      <c r="E582" s="147"/>
      <c r="F582" s="147"/>
      <c r="G582" s="147"/>
      <c r="H582" s="147"/>
      <c r="I582" s="147"/>
      <c r="J582" s="147"/>
      <c r="K582" s="140"/>
      <c r="L582" s="140"/>
      <c r="M582" s="140"/>
      <c r="N582" s="140"/>
      <c r="O582" s="141"/>
      <c r="P582" s="140"/>
      <c r="Q582" s="140"/>
      <c r="R582" s="140"/>
      <c r="S582" s="140"/>
      <c r="T582" s="140"/>
      <c r="U582" s="140"/>
      <c r="V582" s="140"/>
      <c r="W582" s="140"/>
      <c r="X582" s="140"/>
      <c r="Y582" s="140"/>
      <c r="Z582" s="140"/>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1:91">
      <c r="A583" s="147"/>
      <c r="B583" s="147"/>
      <c r="C583" s="147"/>
      <c r="D583" s="147"/>
      <c r="E583" s="147"/>
      <c r="F583" s="147"/>
      <c r="G583" s="147"/>
      <c r="H583" s="147"/>
      <c r="I583" s="147"/>
      <c r="J583" s="147"/>
      <c r="K583" s="140"/>
      <c r="L583" s="140"/>
      <c r="M583" s="140"/>
      <c r="N583" s="140"/>
      <c r="O583" s="141"/>
      <c r="P583" s="140"/>
      <c r="Q583" s="140"/>
      <c r="R583" s="140"/>
      <c r="S583" s="140"/>
      <c r="T583" s="140"/>
      <c r="U583" s="140"/>
      <c r="V583" s="140"/>
      <c r="W583" s="140"/>
      <c r="X583" s="140"/>
      <c r="Y583" s="140"/>
      <c r="Z583" s="140"/>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1:91">
      <c r="A584" s="147"/>
      <c r="B584" s="147"/>
      <c r="C584" s="147"/>
      <c r="D584" s="147"/>
      <c r="E584" s="147"/>
      <c r="F584" s="147"/>
      <c r="G584" s="147"/>
      <c r="H584" s="147"/>
      <c r="I584" s="147"/>
      <c r="J584" s="147"/>
      <c r="K584" s="140"/>
      <c r="L584" s="140"/>
      <c r="M584" s="140"/>
      <c r="N584" s="140"/>
      <c r="O584" s="141"/>
      <c r="P584" s="140"/>
      <c r="Q584" s="140"/>
      <c r="R584" s="140"/>
      <c r="S584" s="140"/>
      <c r="T584" s="140"/>
      <c r="U584" s="140"/>
      <c r="V584" s="140"/>
      <c r="W584" s="140"/>
      <c r="X584" s="140"/>
      <c r="Y584" s="140"/>
      <c r="Z584" s="140"/>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1:91">
      <c r="A585" s="147"/>
      <c r="B585" s="147"/>
      <c r="C585" s="147"/>
      <c r="D585" s="147"/>
      <c r="E585" s="147"/>
      <c r="F585" s="147"/>
      <c r="G585" s="147"/>
      <c r="H585" s="147"/>
      <c r="I585" s="147"/>
      <c r="J585" s="147"/>
      <c r="K585" s="140"/>
      <c r="L585" s="140"/>
      <c r="M585" s="140"/>
      <c r="N585" s="140"/>
      <c r="O585" s="141"/>
      <c r="P585" s="140"/>
      <c r="Q585" s="140"/>
      <c r="R585" s="140"/>
      <c r="S585" s="140"/>
      <c r="T585" s="140"/>
      <c r="U585" s="140"/>
      <c r="V585" s="140"/>
      <c r="W585" s="140"/>
      <c r="X585" s="140"/>
      <c r="Y585" s="140"/>
      <c r="Z585" s="140"/>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1:91">
      <c r="A586" s="147"/>
      <c r="B586" s="147"/>
      <c r="C586" s="147"/>
      <c r="D586" s="147"/>
      <c r="E586" s="147"/>
      <c r="F586" s="147"/>
      <c r="G586" s="147"/>
      <c r="H586" s="147"/>
      <c r="I586" s="147"/>
      <c r="J586" s="147"/>
      <c r="K586" s="140"/>
      <c r="L586" s="140"/>
      <c r="M586" s="140"/>
      <c r="N586" s="140"/>
      <c r="O586" s="141"/>
      <c r="P586" s="140"/>
      <c r="Q586" s="140"/>
      <c r="R586" s="140"/>
      <c r="S586" s="140"/>
      <c r="T586" s="140"/>
      <c r="U586" s="140"/>
      <c r="V586" s="140"/>
      <c r="W586" s="140"/>
      <c r="X586" s="140"/>
      <c r="Y586" s="140"/>
      <c r="Z586" s="140"/>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1:91">
      <c r="A587" s="147"/>
      <c r="B587" s="147"/>
      <c r="C587" s="147"/>
      <c r="D587" s="147"/>
      <c r="E587" s="147"/>
      <c r="F587" s="147"/>
      <c r="G587" s="147"/>
      <c r="H587" s="147"/>
      <c r="I587" s="147"/>
      <c r="J587" s="147"/>
      <c r="K587" s="140"/>
      <c r="L587" s="140"/>
      <c r="M587" s="140"/>
      <c r="N587" s="140"/>
      <c r="O587" s="141"/>
      <c r="P587" s="140"/>
      <c r="Q587" s="140"/>
      <c r="R587" s="140"/>
      <c r="S587" s="140"/>
      <c r="T587" s="140"/>
      <c r="U587" s="140"/>
      <c r="V587" s="140"/>
      <c r="W587" s="140"/>
      <c r="X587" s="140"/>
      <c r="Y587" s="140"/>
      <c r="Z587" s="140"/>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1:91">
      <c r="A588" s="147"/>
      <c r="B588" s="147"/>
      <c r="C588" s="147"/>
      <c r="D588" s="147"/>
      <c r="E588" s="147"/>
      <c r="F588" s="147"/>
      <c r="G588" s="147"/>
      <c r="H588" s="147"/>
      <c r="I588" s="147"/>
      <c r="J588" s="147"/>
      <c r="K588" s="140"/>
      <c r="L588" s="140"/>
      <c r="M588" s="140"/>
      <c r="N588" s="140"/>
      <c r="O588" s="141"/>
      <c r="P588" s="140"/>
      <c r="Q588" s="140"/>
      <c r="R588" s="140"/>
      <c r="S588" s="140"/>
      <c r="T588" s="140"/>
      <c r="U588" s="140"/>
      <c r="V588" s="140"/>
      <c r="W588" s="140"/>
      <c r="X588" s="140"/>
      <c r="Y588" s="140"/>
      <c r="Z588" s="140"/>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1:91">
      <c r="A589" s="147"/>
      <c r="B589" s="147"/>
      <c r="C589" s="147"/>
      <c r="D589" s="147"/>
      <c r="E589" s="147"/>
      <c r="F589" s="147"/>
      <c r="G589" s="147"/>
      <c r="H589" s="147"/>
      <c r="I589" s="147"/>
      <c r="J589" s="147"/>
      <c r="K589" s="140"/>
      <c r="L589" s="140"/>
      <c r="M589" s="140"/>
      <c r="N589" s="140"/>
      <c r="O589" s="141"/>
      <c r="P589" s="140"/>
      <c r="Q589" s="140"/>
      <c r="R589" s="140"/>
      <c r="S589" s="140"/>
      <c r="T589" s="140"/>
      <c r="U589" s="140"/>
      <c r="V589" s="140"/>
      <c r="W589" s="140"/>
      <c r="X589" s="140"/>
      <c r="Y589" s="140"/>
      <c r="Z589" s="140"/>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1:91">
      <c r="A590" s="147"/>
      <c r="B590" s="147"/>
      <c r="C590" s="147"/>
      <c r="D590" s="147"/>
      <c r="E590" s="147"/>
      <c r="F590" s="147"/>
      <c r="G590" s="147"/>
      <c r="H590" s="147"/>
      <c r="I590" s="147"/>
      <c r="J590" s="147"/>
      <c r="K590" s="140"/>
      <c r="L590" s="140"/>
      <c r="M590" s="140"/>
      <c r="N590" s="140"/>
      <c r="O590" s="141"/>
      <c r="P590" s="140"/>
      <c r="Q590" s="140"/>
      <c r="R590" s="140"/>
      <c r="S590" s="140"/>
      <c r="T590" s="140"/>
      <c r="U590" s="140"/>
      <c r="V590" s="140"/>
      <c r="W590" s="140"/>
      <c r="X590" s="140"/>
      <c r="Y590" s="140"/>
      <c r="Z590" s="14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1:91">
      <c r="A591" s="147"/>
      <c r="B591" s="147"/>
      <c r="C591" s="147"/>
      <c r="D591" s="147"/>
      <c r="E591" s="147"/>
      <c r="F591" s="147"/>
      <c r="G591" s="147"/>
      <c r="H591" s="147"/>
      <c r="I591" s="147"/>
      <c r="J591" s="147"/>
      <c r="K591" s="140"/>
      <c r="L591" s="140"/>
      <c r="M591" s="140"/>
      <c r="N591" s="140"/>
      <c r="O591" s="141"/>
      <c r="P591" s="140"/>
      <c r="Q591" s="140"/>
      <c r="R591" s="140"/>
      <c r="S591" s="140"/>
      <c r="T591" s="140"/>
      <c r="U591" s="140"/>
      <c r="V591" s="140"/>
      <c r="W591" s="140"/>
      <c r="X591" s="140"/>
      <c r="Y591" s="140"/>
      <c r="Z591" s="140"/>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1:91">
      <c r="A592" s="147"/>
      <c r="B592" s="147"/>
      <c r="C592" s="147"/>
      <c r="D592" s="147"/>
      <c r="E592" s="147"/>
      <c r="F592" s="147"/>
      <c r="G592" s="147"/>
      <c r="H592" s="147"/>
      <c r="I592" s="147"/>
      <c r="J592" s="147"/>
      <c r="K592" s="140"/>
      <c r="L592" s="140"/>
      <c r="M592" s="140"/>
      <c r="N592" s="140"/>
      <c r="O592" s="141"/>
      <c r="P592" s="140"/>
      <c r="Q592" s="140"/>
      <c r="R592" s="140"/>
      <c r="S592" s="140"/>
      <c r="T592" s="140"/>
      <c r="U592" s="140"/>
      <c r="V592" s="140"/>
      <c r="W592" s="140"/>
      <c r="X592" s="140"/>
      <c r="Y592" s="140"/>
      <c r="Z592" s="140"/>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1:91">
      <c r="A593" s="147"/>
      <c r="B593" s="147"/>
      <c r="C593" s="147"/>
      <c r="D593" s="147"/>
      <c r="E593" s="147"/>
      <c r="F593" s="147"/>
      <c r="G593" s="147"/>
      <c r="H593" s="147"/>
      <c r="I593" s="147"/>
      <c r="J593" s="147"/>
      <c r="K593" s="140"/>
      <c r="L593" s="140"/>
      <c r="M593" s="140"/>
      <c r="N593" s="140"/>
      <c r="O593" s="141"/>
      <c r="P593" s="140"/>
      <c r="Q593" s="140"/>
      <c r="R593" s="140"/>
      <c r="S593" s="140"/>
      <c r="T593" s="140"/>
      <c r="U593" s="140"/>
      <c r="V593" s="140"/>
      <c r="W593" s="140"/>
      <c r="X593" s="140"/>
      <c r="Y593" s="140"/>
      <c r="Z593" s="140"/>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1:91">
      <c r="A594" s="147"/>
      <c r="B594" s="147"/>
      <c r="C594" s="147"/>
      <c r="D594" s="147"/>
      <c r="E594" s="147"/>
      <c r="F594" s="147"/>
      <c r="G594" s="147"/>
      <c r="H594" s="147"/>
      <c r="I594" s="147"/>
      <c r="J594" s="147"/>
      <c r="K594" s="140"/>
      <c r="L594" s="140"/>
      <c r="M594" s="140"/>
      <c r="N594" s="140"/>
      <c r="O594" s="141"/>
      <c r="P594" s="140"/>
      <c r="Q594" s="140"/>
      <c r="R594" s="140"/>
      <c r="S594" s="140"/>
      <c r="T594" s="140"/>
      <c r="U594" s="140"/>
      <c r="V594" s="140"/>
      <c r="W594" s="140"/>
      <c r="X594" s="140"/>
      <c r="Y594" s="140"/>
      <c r="Z594" s="140"/>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1:91">
      <c r="A595" s="147"/>
      <c r="B595" s="147"/>
      <c r="C595" s="147"/>
      <c r="D595" s="147"/>
      <c r="E595" s="147"/>
      <c r="F595" s="147"/>
      <c r="G595" s="147"/>
      <c r="H595" s="147"/>
      <c r="I595" s="147"/>
      <c r="J595" s="147"/>
      <c r="K595" s="140"/>
      <c r="L595" s="140"/>
      <c r="M595" s="140"/>
      <c r="N595" s="140"/>
      <c r="O595" s="141"/>
      <c r="P595" s="140"/>
      <c r="Q595" s="140"/>
      <c r="R595" s="140"/>
      <c r="S595" s="140"/>
      <c r="T595" s="140"/>
      <c r="U595" s="140"/>
      <c r="V595" s="140"/>
      <c r="W595" s="140"/>
      <c r="X595" s="140"/>
      <c r="Y595" s="140"/>
      <c r="Z595" s="140"/>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1:91">
      <c r="A596" s="147"/>
      <c r="B596" s="147"/>
      <c r="C596" s="147"/>
      <c r="D596" s="147"/>
      <c r="E596" s="147"/>
      <c r="F596" s="147"/>
      <c r="G596" s="147"/>
      <c r="H596" s="147"/>
      <c r="I596" s="147"/>
      <c r="J596" s="147"/>
      <c r="K596" s="140"/>
      <c r="L596" s="140"/>
      <c r="M596" s="140"/>
      <c r="N596" s="140"/>
      <c r="O596" s="141"/>
      <c r="P596" s="140"/>
      <c r="Q596" s="140"/>
      <c r="R596" s="140"/>
      <c r="S596" s="140"/>
      <c r="T596" s="140"/>
      <c r="U596" s="140"/>
      <c r="V596" s="140"/>
      <c r="W596" s="140"/>
      <c r="X596" s="140"/>
      <c r="Y596" s="140"/>
      <c r="Z596" s="140"/>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1:91">
      <c r="A597" s="147"/>
      <c r="B597" s="147"/>
      <c r="C597" s="147"/>
      <c r="D597" s="147"/>
      <c r="E597" s="147"/>
      <c r="F597" s="147"/>
      <c r="G597" s="147"/>
      <c r="H597" s="147"/>
      <c r="I597" s="147"/>
      <c r="J597" s="147"/>
      <c r="K597" s="140"/>
      <c r="L597" s="140"/>
      <c r="M597" s="140"/>
      <c r="N597" s="140"/>
      <c r="O597" s="141"/>
      <c r="P597" s="140"/>
      <c r="Q597" s="140"/>
      <c r="R597" s="140"/>
      <c r="S597" s="140"/>
      <c r="T597" s="140"/>
      <c r="U597" s="140"/>
      <c r="V597" s="140"/>
      <c r="W597" s="140"/>
      <c r="X597" s="140"/>
      <c r="Y597" s="140"/>
      <c r="Z597" s="140"/>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1:91">
      <c r="A598" s="147"/>
      <c r="B598" s="147"/>
      <c r="C598" s="147"/>
      <c r="D598" s="147"/>
      <c r="E598" s="147"/>
      <c r="F598" s="147"/>
      <c r="G598" s="147"/>
      <c r="H598" s="147"/>
      <c r="I598" s="147"/>
      <c r="J598" s="147"/>
      <c r="K598" s="140"/>
      <c r="L598" s="140"/>
      <c r="M598" s="140"/>
      <c r="N598" s="140"/>
      <c r="O598" s="141"/>
      <c r="P598" s="140"/>
      <c r="Q598" s="140"/>
      <c r="R598" s="140"/>
      <c r="S598" s="140"/>
      <c r="T598" s="140"/>
      <c r="U598" s="140"/>
      <c r="V598" s="140"/>
      <c r="W598" s="140"/>
      <c r="X598" s="140"/>
      <c r="Y598" s="140"/>
      <c r="Z598" s="140"/>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1:91">
      <c r="A599" s="147"/>
      <c r="B599" s="147"/>
      <c r="C599" s="147"/>
      <c r="D599" s="147"/>
      <c r="E599" s="147"/>
      <c r="F599" s="147"/>
      <c r="G599" s="147"/>
      <c r="H599" s="147"/>
      <c r="I599" s="147"/>
      <c r="J599" s="147"/>
      <c r="K599" s="140"/>
      <c r="L599" s="140"/>
      <c r="M599" s="140"/>
      <c r="N599" s="140"/>
      <c r="O599" s="141"/>
      <c r="P599" s="140"/>
      <c r="Q599" s="140"/>
      <c r="R599" s="140"/>
      <c r="S599" s="140"/>
      <c r="T599" s="140"/>
      <c r="U599" s="140"/>
      <c r="V599" s="140"/>
      <c r="W599" s="140"/>
      <c r="X599" s="140"/>
      <c r="Y599" s="140"/>
      <c r="Z599" s="140"/>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1:91">
      <c r="A600" s="147"/>
      <c r="B600" s="147"/>
      <c r="C600" s="147"/>
      <c r="D600" s="147"/>
      <c r="E600" s="147"/>
      <c r="F600" s="147"/>
      <c r="G600" s="147"/>
      <c r="H600" s="147"/>
      <c r="I600" s="147"/>
      <c r="J600" s="147"/>
      <c r="K600" s="140"/>
      <c r="L600" s="140"/>
      <c r="M600" s="140"/>
      <c r="N600" s="140"/>
      <c r="O600" s="141"/>
      <c r="P600" s="140"/>
      <c r="Q600" s="140"/>
      <c r="R600" s="140"/>
      <c r="S600" s="140"/>
      <c r="T600" s="140"/>
      <c r="U600" s="140"/>
      <c r="V600" s="140"/>
      <c r="W600" s="140"/>
      <c r="X600" s="140"/>
      <c r="Y600" s="140"/>
      <c r="Z600" s="14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1:91">
      <c r="A601" s="147"/>
      <c r="B601" s="147"/>
      <c r="C601" s="147"/>
      <c r="D601" s="147"/>
      <c r="E601" s="147"/>
      <c r="F601" s="147"/>
      <c r="G601" s="147"/>
      <c r="H601" s="147"/>
      <c r="I601" s="147"/>
      <c r="J601" s="147"/>
      <c r="K601" s="140"/>
      <c r="L601" s="140"/>
      <c r="M601" s="140"/>
      <c r="N601" s="140"/>
      <c r="O601" s="141"/>
      <c r="P601" s="140"/>
      <c r="Q601" s="140"/>
      <c r="R601" s="140"/>
      <c r="S601" s="140"/>
      <c r="T601" s="140"/>
      <c r="U601" s="140"/>
      <c r="V601" s="140"/>
      <c r="W601" s="140"/>
      <c r="X601" s="140"/>
      <c r="Y601" s="140"/>
      <c r="Z601" s="140"/>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1:91">
      <c r="A602" s="147"/>
      <c r="B602" s="147"/>
      <c r="C602" s="147"/>
      <c r="D602" s="147"/>
      <c r="E602" s="147"/>
      <c r="F602" s="147"/>
      <c r="G602" s="147"/>
      <c r="H602" s="147"/>
      <c r="I602" s="147"/>
      <c r="J602" s="147"/>
      <c r="K602" s="140"/>
      <c r="L602" s="140"/>
      <c r="M602" s="140"/>
      <c r="N602" s="140"/>
      <c r="O602" s="141"/>
      <c r="P602" s="140"/>
      <c r="Q602" s="140"/>
      <c r="R602" s="140"/>
      <c r="S602" s="140"/>
      <c r="T602" s="140"/>
      <c r="U602" s="140"/>
      <c r="V602" s="140"/>
      <c r="W602" s="140"/>
      <c r="X602" s="140"/>
      <c r="Y602" s="140"/>
      <c r="Z602" s="140"/>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1:91">
      <c r="A603" s="147"/>
      <c r="B603" s="147"/>
      <c r="C603" s="147"/>
      <c r="D603" s="147"/>
      <c r="E603" s="147"/>
      <c r="F603" s="147"/>
      <c r="G603" s="147"/>
      <c r="H603" s="147"/>
      <c r="I603" s="147"/>
      <c r="J603" s="147"/>
      <c r="K603" s="140"/>
      <c r="L603" s="140"/>
      <c r="M603" s="140"/>
      <c r="N603" s="140"/>
      <c r="O603" s="141"/>
      <c r="P603" s="140"/>
      <c r="Q603" s="140"/>
      <c r="R603" s="140"/>
      <c r="S603" s="140"/>
      <c r="T603" s="140"/>
      <c r="U603" s="140"/>
      <c r="V603" s="140"/>
      <c r="W603" s="140"/>
      <c r="X603" s="140"/>
      <c r="Y603" s="140"/>
      <c r="Z603" s="140"/>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1:91">
      <c r="A604" s="147"/>
      <c r="B604" s="147"/>
      <c r="C604" s="147"/>
      <c r="D604" s="147"/>
      <c r="E604" s="147"/>
      <c r="F604" s="147"/>
      <c r="G604" s="147"/>
      <c r="H604" s="147"/>
      <c r="I604" s="147"/>
      <c r="J604" s="147"/>
      <c r="K604" s="140"/>
      <c r="L604" s="140"/>
      <c r="M604" s="140"/>
      <c r="N604" s="140"/>
      <c r="O604" s="141"/>
      <c r="P604" s="140"/>
      <c r="Q604" s="140"/>
      <c r="R604" s="140"/>
      <c r="S604" s="140"/>
      <c r="T604" s="140"/>
      <c r="U604" s="140"/>
      <c r="V604" s="140"/>
      <c r="W604" s="140"/>
      <c r="X604" s="140"/>
      <c r="Y604" s="140"/>
      <c r="Z604" s="140"/>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1:91">
      <c r="A605" s="147"/>
      <c r="B605" s="147"/>
      <c r="C605" s="147"/>
      <c r="D605" s="147"/>
      <c r="E605" s="147"/>
      <c r="F605" s="147"/>
      <c r="G605" s="147"/>
      <c r="H605" s="147"/>
      <c r="I605" s="147"/>
      <c r="J605" s="147"/>
      <c r="K605" s="140"/>
      <c r="L605" s="140"/>
      <c r="M605" s="140"/>
      <c r="N605" s="140"/>
      <c r="O605" s="141"/>
      <c r="P605" s="140"/>
      <c r="Q605" s="140"/>
      <c r="R605" s="140"/>
      <c r="S605" s="140"/>
      <c r="T605" s="140"/>
      <c r="U605" s="140"/>
      <c r="V605" s="140"/>
      <c r="W605" s="140"/>
      <c r="X605" s="140"/>
      <c r="Y605" s="140"/>
      <c r="Z605" s="140"/>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1:91">
      <c r="A606" s="147"/>
      <c r="B606" s="147"/>
      <c r="C606" s="147"/>
      <c r="D606" s="147"/>
      <c r="E606" s="147"/>
      <c r="F606" s="147"/>
      <c r="G606" s="147"/>
      <c r="H606" s="147"/>
      <c r="I606" s="147"/>
      <c r="J606" s="147"/>
      <c r="K606" s="140"/>
      <c r="L606" s="140"/>
      <c r="M606" s="140"/>
      <c r="N606" s="140"/>
      <c r="O606" s="141"/>
      <c r="P606" s="140"/>
      <c r="Q606" s="140"/>
      <c r="R606" s="140"/>
      <c r="S606" s="140"/>
      <c r="T606" s="140"/>
      <c r="U606" s="140"/>
      <c r="V606" s="140"/>
      <c r="W606" s="140"/>
      <c r="X606" s="140"/>
      <c r="Y606" s="140"/>
      <c r="Z606" s="140"/>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1:91">
      <c r="A607" s="147"/>
      <c r="B607" s="147"/>
      <c r="C607" s="147"/>
      <c r="D607" s="147"/>
      <c r="E607" s="147"/>
      <c r="F607" s="147"/>
      <c r="G607" s="147"/>
      <c r="H607" s="147"/>
      <c r="I607" s="147"/>
      <c r="J607" s="147"/>
      <c r="K607" s="140"/>
      <c r="L607" s="140"/>
      <c r="M607" s="140"/>
      <c r="N607" s="140"/>
      <c r="O607" s="141"/>
      <c r="P607" s="140"/>
      <c r="Q607" s="140"/>
      <c r="R607" s="140"/>
      <c r="S607" s="140"/>
      <c r="T607" s="140"/>
      <c r="U607" s="140"/>
      <c r="V607" s="140"/>
      <c r="W607" s="140"/>
      <c r="X607" s="140"/>
      <c r="Y607" s="140"/>
      <c r="Z607" s="140"/>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1:91">
      <c r="A608" s="147"/>
      <c r="B608" s="147"/>
      <c r="C608" s="147"/>
      <c r="D608" s="147"/>
      <c r="E608" s="147"/>
      <c r="F608" s="147"/>
      <c r="G608" s="147"/>
      <c r="H608" s="147"/>
      <c r="I608" s="147"/>
      <c r="J608" s="147"/>
      <c r="K608" s="140"/>
      <c r="L608" s="140"/>
      <c r="M608" s="140"/>
      <c r="N608" s="140"/>
      <c r="O608" s="141"/>
      <c r="P608" s="140"/>
      <c r="Q608" s="140"/>
      <c r="R608" s="140"/>
      <c r="S608" s="140"/>
      <c r="T608" s="140"/>
      <c r="U608" s="140"/>
      <c r="V608" s="140"/>
      <c r="W608" s="140"/>
      <c r="X608" s="140"/>
      <c r="Y608" s="140"/>
      <c r="Z608" s="140"/>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1:91">
      <c r="A609" s="147"/>
      <c r="B609" s="147"/>
      <c r="C609" s="147"/>
      <c r="D609" s="147"/>
      <c r="E609" s="147"/>
      <c r="F609" s="147"/>
      <c r="G609" s="147"/>
      <c r="H609" s="147"/>
      <c r="I609" s="147"/>
      <c r="J609" s="147"/>
      <c r="K609" s="140"/>
      <c r="L609" s="140"/>
      <c r="M609" s="140"/>
      <c r="N609" s="140"/>
      <c r="O609" s="141"/>
      <c r="P609" s="140"/>
      <c r="Q609" s="140"/>
      <c r="R609" s="140"/>
      <c r="S609" s="140"/>
      <c r="T609" s="140"/>
      <c r="U609" s="140"/>
      <c r="V609" s="140"/>
      <c r="W609" s="140"/>
      <c r="X609" s="140"/>
      <c r="Y609" s="140"/>
      <c r="Z609" s="140"/>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1:91">
      <c r="A610" s="147"/>
      <c r="B610" s="147"/>
      <c r="C610" s="147"/>
      <c r="D610" s="147"/>
      <c r="E610" s="147"/>
      <c r="F610" s="147"/>
      <c r="G610" s="147"/>
      <c r="H610" s="147"/>
      <c r="I610" s="147"/>
      <c r="J610" s="147"/>
      <c r="K610" s="140"/>
      <c r="L610" s="140"/>
      <c r="M610" s="140"/>
      <c r="N610" s="140"/>
      <c r="O610" s="141"/>
      <c r="P610" s="140"/>
      <c r="Q610" s="140"/>
      <c r="R610" s="140"/>
      <c r="S610" s="140"/>
      <c r="T610" s="140"/>
      <c r="U610" s="140"/>
      <c r="V610" s="140"/>
      <c r="W610" s="140"/>
      <c r="X610" s="140"/>
      <c r="Y610" s="140"/>
      <c r="Z610" s="14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1:91">
      <c r="A611" s="147"/>
      <c r="B611" s="147"/>
      <c r="C611" s="147"/>
      <c r="D611" s="147"/>
      <c r="E611" s="147"/>
      <c r="F611" s="147"/>
      <c r="G611" s="147"/>
      <c r="H611" s="147"/>
      <c r="I611" s="147"/>
      <c r="J611" s="147"/>
      <c r="K611" s="140"/>
      <c r="L611" s="140"/>
      <c r="M611" s="140"/>
      <c r="N611" s="140"/>
      <c r="O611" s="141"/>
      <c r="P611" s="140"/>
      <c r="Q611" s="140"/>
      <c r="R611" s="140"/>
      <c r="S611" s="140"/>
      <c r="T611" s="140"/>
      <c r="U611" s="140"/>
      <c r="V611" s="140"/>
      <c r="W611" s="140"/>
      <c r="X611" s="140"/>
      <c r="Y611" s="140"/>
      <c r="Z611" s="140"/>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1:91">
      <c r="A612" s="147"/>
      <c r="B612" s="147"/>
      <c r="C612" s="147"/>
      <c r="D612" s="147"/>
      <c r="E612" s="147"/>
      <c r="F612" s="147"/>
      <c r="G612" s="147"/>
      <c r="H612" s="147"/>
      <c r="I612" s="147"/>
      <c r="J612" s="147"/>
      <c r="K612" s="140"/>
      <c r="L612" s="140"/>
      <c r="M612" s="140"/>
      <c r="N612" s="140"/>
      <c r="O612" s="141"/>
      <c r="P612" s="140"/>
      <c r="Q612" s="140"/>
      <c r="R612" s="140"/>
      <c r="S612" s="140"/>
      <c r="T612" s="140"/>
      <c r="U612" s="140"/>
      <c r="V612" s="140"/>
      <c r="W612" s="140"/>
      <c r="X612" s="140"/>
      <c r="Y612" s="140"/>
      <c r="Z612" s="140"/>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1:91">
      <c r="A613" s="147"/>
      <c r="B613" s="147"/>
      <c r="C613" s="147"/>
      <c r="D613" s="147"/>
      <c r="E613" s="147"/>
      <c r="F613" s="147"/>
      <c r="G613" s="147"/>
      <c r="H613" s="147"/>
      <c r="I613" s="147"/>
      <c r="J613" s="147"/>
      <c r="K613" s="140"/>
      <c r="L613" s="140"/>
      <c r="M613" s="140"/>
      <c r="N613" s="140"/>
      <c r="O613" s="141"/>
      <c r="P613" s="140"/>
      <c r="Q613" s="140"/>
      <c r="R613" s="140"/>
      <c r="S613" s="140"/>
      <c r="T613" s="140"/>
      <c r="U613" s="140"/>
      <c r="V613" s="140"/>
      <c r="W613" s="140"/>
      <c r="X613" s="140"/>
      <c r="Y613" s="140"/>
      <c r="Z613" s="140"/>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1:91">
      <c r="A614" s="147"/>
      <c r="B614" s="147"/>
      <c r="C614" s="147"/>
      <c r="D614" s="147"/>
      <c r="E614" s="147"/>
      <c r="F614" s="147"/>
      <c r="G614" s="147"/>
      <c r="H614" s="147"/>
      <c r="I614" s="147"/>
      <c r="J614" s="147"/>
      <c r="K614" s="140"/>
      <c r="L614" s="140"/>
      <c r="M614" s="140"/>
      <c r="N614" s="140"/>
      <c r="O614" s="141"/>
      <c r="P614" s="140"/>
      <c r="Q614" s="140"/>
      <c r="R614" s="140"/>
      <c r="S614" s="140"/>
      <c r="T614" s="140"/>
      <c r="U614" s="140"/>
      <c r="V614" s="140"/>
      <c r="W614" s="140"/>
      <c r="X614" s="140"/>
      <c r="Y614" s="140"/>
      <c r="Z614" s="140"/>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1:91">
      <c r="A615" s="147"/>
      <c r="B615" s="147"/>
      <c r="C615" s="147"/>
      <c r="D615" s="147"/>
      <c r="E615" s="147"/>
      <c r="F615" s="147"/>
      <c r="G615" s="147"/>
      <c r="H615" s="147"/>
      <c r="I615" s="147"/>
      <c r="J615" s="147"/>
      <c r="K615" s="140"/>
      <c r="L615" s="140"/>
      <c r="M615" s="140"/>
      <c r="N615" s="140"/>
      <c r="O615" s="141"/>
      <c r="P615" s="140"/>
      <c r="Q615" s="140"/>
      <c r="R615" s="140"/>
      <c r="S615" s="140"/>
      <c r="T615" s="140"/>
      <c r="U615" s="140"/>
      <c r="V615" s="140"/>
      <c r="W615" s="140"/>
      <c r="X615" s="140"/>
      <c r="Y615" s="140"/>
      <c r="Z615" s="140"/>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1:91">
      <c r="A616" s="147"/>
      <c r="B616" s="147"/>
      <c r="C616" s="147"/>
      <c r="D616" s="147"/>
      <c r="E616" s="147"/>
      <c r="F616" s="147"/>
      <c r="G616" s="147"/>
      <c r="H616" s="147"/>
      <c r="I616" s="147"/>
      <c r="J616" s="147"/>
      <c r="K616" s="140"/>
      <c r="L616" s="140"/>
      <c r="M616" s="140"/>
      <c r="N616" s="140"/>
      <c r="O616" s="141"/>
      <c r="P616" s="140"/>
      <c r="Q616" s="140"/>
      <c r="R616" s="140"/>
      <c r="S616" s="140"/>
      <c r="T616" s="140"/>
      <c r="U616" s="140"/>
      <c r="V616" s="140"/>
      <c r="W616" s="140"/>
      <c r="X616" s="140"/>
      <c r="Y616" s="140"/>
      <c r="Z616" s="140"/>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1:91">
      <c r="A617" s="147"/>
      <c r="B617" s="147"/>
      <c r="C617" s="147"/>
      <c r="D617" s="147"/>
      <c r="E617" s="147"/>
      <c r="F617" s="147"/>
      <c r="G617" s="147"/>
      <c r="H617" s="147"/>
      <c r="I617" s="147"/>
      <c r="J617" s="147"/>
      <c r="K617" s="140"/>
      <c r="L617" s="140"/>
      <c r="M617" s="140"/>
      <c r="N617" s="140"/>
      <c r="O617" s="141"/>
      <c r="P617" s="140"/>
      <c r="Q617" s="140"/>
      <c r="R617" s="140"/>
      <c r="S617" s="140"/>
      <c r="T617" s="140"/>
      <c r="U617" s="140"/>
      <c r="V617" s="140"/>
      <c r="W617" s="140"/>
      <c r="X617" s="140"/>
      <c r="Y617" s="140"/>
      <c r="Z617" s="140"/>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1:91">
      <c r="A618" s="147"/>
      <c r="B618" s="147"/>
      <c r="C618" s="147"/>
      <c r="D618" s="147"/>
      <c r="E618" s="147"/>
      <c r="F618" s="147"/>
      <c r="G618" s="147"/>
      <c r="H618" s="147"/>
      <c r="I618" s="147"/>
      <c r="J618" s="147"/>
      <c r="K618" s="140"/>
      <c r="L618" s="140"/>
      <c r="M618" s="140"/>
      <c r="N618" s="140"/>
      <c r="O618" s="141"/>
      <c r="P618" s="140"/>
      <c r="Q618" s="140"/>
      <c r="R618" s="140"/>
      <c r="S618" s="140"/>
      <c r="T618" s="140"/>
      <c r="U618" s="140"/>
      <c r="V618" s="140"/>
      <c r="W618" s="140"/>
      <c r="X618" s="140"/>
      <c r="Y618" s="140"/>
      <c r="Z618" s="140"/>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1:91">
      <c r="A619" s="147"/>
      <c r="B619" s="147"/>
      <c r="C619" s="147"/>
      <c r="D619" s="147"/>
      <c r="E619" s="147"/>
      <c r="F619" s="147"/>
      <c r="G619" s="147"/>
      <c r="H619" s="147"/>
      <c r="I619" s="147"/>
      <c r="J619" s="147"/>
      <c r="K619" s="140"/>
      <c r="L619" s="140"/>
      <c r="M619" s="140"/>
      <c r="N619" s="140"/>
      <c r="O619" s="141"/>
      <c r="P619" s="140"/>
      <c r="Q619" s="140"/>
      <c r="R619" s="140"/>
      <c r="S619" s="140"/>
      <c r="T619" s="140"/>
      <c r="U619" s="140"/>
      <c r="V619" s="140"/>
      <c r="W619" s="140"/>
      <c r="X619" s="140"/>
      <c r="Y619" s="140"/>
      <c r="Z619" s="140"/>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1:91">
      <c r="A620" s="147"/>
      <c r="B620" s="147"/>
      <c r="C620" s="147"/>
      <c r="D620" s="147"/>
      <c r="E620" s="147"/>
      <c r="F620" s="147"/>
      <c r="G620" s="147"/>
      <c r="H620" s="147"/>
      <c r="I620" s="147"/>
      <c r="J620" s="147"/>
      <c r="K620" s="140"/>
      <c r="L620" s="140"/>
      <c r="M620" s="140"/>
      <c r="N620" s="140"/>
      <c r="O620" s="141"/>
      <c r="P620" s="140"/>
      <c r="Q620" s="140"/>
      <c r="R620" s="140"/>
      <c r="S620" s="140"/>
      <c r="T620" s="140"/>
      <c r="U620" s="140"/>
      <c r="V620" s="140"/>
      <c r="W620" s="140"/>
      <c r="X620" s="140"/>
      <c r="Y620" s="140"/>
      <c r="Z620" s="14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1:91">
      <c r="A621" s="147"/>
      <c r="B621" s="147"/>
      <c r="C621" s="147"/>
      <c r="D621" s="147"/>
      <c r="E621" s="147"/>
      <c r="F621" s="147"/>
      <c r="G621" s="147"/>
      <c r="H621" s="147"/>
      <c r="I621" s="147"/>
      <c r="J621" s="147"/>
      <c r="K621" s="140"/>
      <c r="L621" s="140"/>
      <c r="M621" s="140"/>
      <c r="N621" s="140"/>
      <c r="O621" s="141"/>
      <c r="P621" s="140"/>
      <c r="Q621" s="140"/>
      <c r="R621" s="140"/>
      <c r="S621" s="140"/>
      <c r="T621" s="140"/>
      <c r="U621" s="140"/>
      <c r="V621" s="140"/>
      <c r="W621" s="140"/>
      <c r="X621" s="140"/>
      <c r="Y621" s="140"/>
      <c r="Z621" s="140"/>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1:91">
      <c r="A622" s="147"/>
      <c r="B622" s="147"/>
      <c r="C622" s="147"/>
      <c r="D622" s="147"/>
      <c r="E622" s="147"/>
      <c r="F622" s="147"/>
      <c r="G622" s="147"/>
      <c r="H622" s="147"/>
      <c r="I622" s="147"/>
      <c r="J622" s="147"/>
      <c r="K622" s="140"/>
      <c r="L622" s="140"/>
      <c r="M622" s="140"/>
      <c r="N622" s="140"/>
      <c r="O622" s="141"/>
      <c r="P622" s="140"/>
      <c r="Q622" s="140"/>
      <c r="R622" s="140"/>
      <c r="S622" s="140"/>
      <c r="T622" s="140"/>
      <c r="U622" s="140"/>
      <c r="V622" s="140"/>
      <c r="W622" s="140"/>
      <c r="X622" s="140"/>
      <c r="Y622" s="140"/>
      <c r="Z622" s="140"/>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1:91">
      <c r="A623" s="147"/>
      <c r="B623" s="147"/>
      <c r="C623" s="147"/>
      <c r="D623" s="147"/>
      <c r="E623" s="147"/>
      <c r="F623" s="147"/>
      <c r="G623" s="147"/>
      <c r="H623" s="147"/>
      <c r="I623" s="147"/>
      <c r="J623" s="147"/>
      <c r="K623" s="140"/>
      <c r="L623" s="140"/>
      <c r="M623" s="140"/>
      <c r="N623" s="140"/>
      <c r="O623" s="141"/>
      <c r="P623" s="140"/>
      <c r="Q623" s="140"/>
      <c r="R623" s="140"/>
      <c r="S623" s="140"/>
      <c r="T623" s="140"/>
      <c r="U623" s="140"/>
      <c r="V623" s="140"/>
      <c r="W623" s="140"/>
      <c r="X623" s="140"/>
      <c r="Y623" s="140"/>
      <c r="Z623" s="140"/>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1:91">
      <c r="A624" s="147"/>
      <c r="B624" s="147"/>
      <c r="C624" s="147"/>
      <c r="D624" s="147"/>
      <c r="E624" s="147"/>
      <c r="F624" s="147"/>
      <c r="G624" s="147"/>
      <c r="H624" s="147"/>
      <c r="I624" s="147"/>
      <c r="J624" s="147"/>
      <c r="K624" s="140"/>
      <c r="L624" s="140"/>
      <c r="M624" s="140"/>
      <c r="N624" s="140"/>
      <c r="O624" s="141"/>
      <c r="P624" s="140"/>
      <c r="Q624" s="140"/>
      <c r="R624" s="140"/>
      <c r="S624" s="140"/>
      <c r="T624" s="140"/>
      <c r="U624" s="140"/>
      <c r="V624" s="140"/>
      <c r="W624" s="140"/>
      <c r="X624" s="140"/>
      <c r="Y624" s="140"/>
      <c r="Z624" s="140"/>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1:91">
      <c r="A625" s="147"/>
      <c r="B625" s="147"/>
      <c r="C625" s="147"/>
      <c r="D625" s="147"/>
      <c r="E625" s="147"/>
      <c r="F625" s="147"/>
      <c r="G625" s="147"/>
      <c r="H625" s="147"/>
      <c r="I625" s="147"/>
      <c r="J625" s="147"/>
      <c r="K625" s="140"/>
      <c r="L625" s="140"/>
      <c r="M625" s="140"/>
      <c r="N625" s="140"/>
      <c r="O625" s="141"/>
      <c r="P625" s="140"/>
      <c r="Q625" s="140"/>
      <c r="R625" s="140"/>
      <c r="S625" s="140"/>
      <c r="T625" s="140"/>
      <c r="U625" s="140"/>
      <c r="V625" s="140"/>
      <c r="W625" s="140"/>
      <c r="X625" s="140"/>
      <c r="Y625" s="140"/>
      <c r="Z625" s="140"/>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1:91">
      <c r="A626" s="147"/>
      <c r="B626" s="147"/>
      <c r="C626" s="147"/>
      <c r="D626" s="147"/>
      <c r="E626" s="147"/>
      <c r="F626" s="147"/>
      <c r="G626" s="147"/>
      <c r="H626" s="147"/>
      <c r="I626" s="147"/>
      <c r="J626" s="147"/>
      <c r="K626" s="140"/>
      <c r="L626" s="140"/>
      <c r="M626" s="140"/>
      <c r="N626" s="140"/>
      <c r="O626" s="141"/>
      <c r="P626" s="140"/>
      <c r="Q626" s="140"/>
      <c r="R626" s="140"/>
      <c r="S626" s="140"/>
      <c r="T626" s="140"/>
      <c r="U626" s="140"/>
      <c r="V626" s="140"/>
      <c r="W626" s="140"/>
      <c r="X626" s="140"/>
      <c r="Y626" s="140"/>
      <c r="Z626" s="140"/>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1:91">
      <c r="A627" s="147"/>
      <c r="B627" s="147"/>
      <c r="C627" s="147"/>
      <c r="D627" s="147"/>
      <c r="E627" s="147"/>
      <c r="F627" s="147"/>
      <c r="G627" s="147"/>
      <c r="H627" s="147"/>
      <c r="I627" s="147"/>
      <c r="J627" s="147"/>
      <c r="K627" s="140"/>
      <c r="L627" s="140"/>
      <c r="M627" s="140"/>
      <c r="N627" s="140"/>
      <c r="O627" s="141"/>
      <c r="P627" s="140"/>
      <c r="Q627" s="140"/>
      <c r="R627" s="140"/>
      <c r="S627" s="140"/>
      <c r="T627" s="140"/>
      <c r="U627" s="140"/>
      <c r="V627" s="140"/>
      <c r="W627" s="140"/>
      <c r="X627" s="140"/>
      <c r="Y627" s="140"/>
      <c r="Z627" s="140"/>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1:91">
      <c r="A628" s="147"/>
      <c r="B628" s="147"/>
      <c r="C628" s="147"/>
      <c r="D628" s="147"/>
      <c r="E628" s="147"/>
      <c r="F628" s="147"/>
      <c r="G628" s="147"/>
      <c r="H628" s="147"/>
      <c r="I628" s="147"/>
      <c r="J628" s="147"/>
      <c r="K628" s="140"/>
      <c r="L628" s="140"/>
      <c r="M628" s="140"/>
      <c r="N628" s="140"/>
      <c r="O628" s="141"/>
      <c r="P628" s="140"/>
      <c r="Q628" s="140"/>
      <c r="R628" s="140"/>
      <c r="S628" s="140"/>
      <c r="T628" s="140"/>
      <c r="U628" s="140"/>
      <c r="V628" s="140"/>
      <c r="W628" s="140"/>
      <c r="X628" s="140"/>
      <c r="Y628" s="140"/>
      <c r="Z628" s="140"/>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1:91">
      <c r="A629" s="147"/>
      <c r="B629" s="147"/>
      <c r="C629" s="147"/>
      <c r="D629" s="147"/>
      <c r="E629" s="147"/>
      <c r="F629" s="147"/>
      <c r="G629" s="147"/>
      <c r="H629" s="147"/>
      <c r="I629" s="147"/>
      <c r="J629" s="147"/>
      <c r="K629" s="140"/>
      <c r="L629" s="140"/>
      <c r="M629" s="140"/>
      <c r="N629" s="140"/>
      <c r="O629" s="141"/>
      <c r="P629" s="140"/>
      <c r="Q629" s="140"/>
      <c r="R629" s="140"/>
      <c r="S629" s="140"/>
      <c r="T629" s="140"/>
      <c r="U629" s="140"/>
      <c r="V629" s="140"/>
      <c r="W629" s="140"/>
      <c r="X629" s="140"/>
      <c r="Y629" s="140"/>
      <c r="Z629" s="140"/>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1:91">
      <c r="A630" s="147"/>
      <c r="B630" s="147"/>
      <c r="C630" s="147"/>
      <c r="D630" s="147"/>
      <c r="E630" s="147"/>
      <c r="F630" s="147"/>
      <c r="G630" s="147"/>
      <c r="H630" s="147"/>
      <c r="I630" s="147"/>
      <c r="J630" s="147"/>
      <c r="K630" s="140"/>
      <c r="L630" s="140"/>
      <c r="M630" s="140"/>
      <c r="N630" s="140"/>
      <c r="O630" s="141"/>
      <c r="P630" s="140"/>
      <c r="Q630" s="140"/>
      <c r="R630" s="140"/>
      <c r="S630" s="140"/>
      <c r="T630" s="140"/>
      <c r="U630" s="140"/>
      <c r="V630" s="140"/>
      <c r="W630" s="140"/>
      <c r="X630" s="140"/>
      <c r="Y630" s="140"/>
      <c r="Z630" s="14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1:91">
      <c r="A631" s="147"/>
      <c r="B631" s="147"/>
      <c r="C631" s="147"/>
      <c r="D631" s="147"/>
      <c r="E631" s="147"/>
      <c r="F631" s="147"/>
      <c r="G631" s="147"/>
      <c r="H631" s="147"/>
      <c r="I631" s="147"/>
      <c r="J631" s="147"/>
      <c r="K631" s="140"/>
      <c r="L631" s="140"/>
      <c r="M631" s="140"/>
      <c r="N631" s="140"/>
      <c r="O631" s="141"/>
      <c r="P631" s="140"/>
      <c r="Q631" s="140"/>
      <c r="R631" s="140"/>
      <c r="S631" s="140"/>
      <c r="T631" s="140"/>
      <c r="U631" s="140"/>
      <c r="V631" s="140"/>
      <c r="W631" s="140"/>
      <c r="X631" s="140"/>
      <c r="Y631" s="140"/>
      <c r="Z631" s="140"/>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1:91">
      <c r="A632" s="147"/>
      <c r="B632" s="147"/>
      <c r="C632" s="147"/>
      <c r="D632" s="147"/>
      <c r="E632" s="147"/>
      <c r="F632" s="147"/>
      <c r="G632" s="147"/>
      <c r="H632" s="147"/>
      <c r="I632" s="147"/>
      <c r="J632" s="147"/>
      <c r="K632" s="140"/>
      <c r="L632" s="140"/>
      <c r="M632" s="140"/>
      <c r="N632" s="140"/>
      <c r="O632" s="141"/>
      <c r="P632" s="140"/>
      <c r="Q632" s="140"/>
      <c r="R632" s="140"/>
      <c r="S632" s="140"/>
      <c r="T632" s="140"/>
      <c r="U632" s="140"/>
      <c r="V632" s="140"/>
      <c r="W632" s="140"/>
      <c r="X632" s="140"/>
      <c r="Y632" s="140"/>
      <c r="Z632" s="140"/>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1:91">
      <c r="A633" s="147"/>
      <c r="B633" s="147"/>
      <c r="C633" s="147"/>
      <c r="D633" s="147"/>
      <c r="E633" s="147"/>
      <c r="F633" s="147"/>
      <c r="G633" s="147"/>
      <c r="H633" s="147"/>
      <c r="I633" s="147"/>
      <c r="J633" s="147"/>
      <c r="K633" s="140"/>
      <c r="L633" s="140"/>
      <c r="M633" s="140"/>
      <c r="N633" s="140"/>
      <c r="O633" s="141"/>
      <c r="P633" s="140"/>
      <c r="Q633" s="140"/>
      <c r="R633" s="140"/>
      <c r="S633" s="140"/>
      <c r="T633" s="140"/>
      <c r="U633" s="140"/>
      <c r="V633" s="140"/>
      <c r="W633" s="140"/>
      <c r="X633" s="140"/>
      <c r="Y633" s="140"/>
      <c r="Z633" s="140"/>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1:91">
      <c r="A634" s="147"/>
      <c r="B634" s="147"/>
      <c r="C634" s="147"/>
      <c r="D634" s="147"/>
      <c r="E634" s="147"/>
      <c r="F634" s="147"/>
      <c r="G634" s="147"/>
      <c r="H634" s="147"/>
      <c r="I634" s="147"/>
      <c r="J634" s="147"/>
      <c r="K634" s="140"/>
      <c r="L634" s="140"/>
      <c r="M634" s="140"/>
      <c r="N634" s="140"/>
      <c r="O634" s="141"/>
      <c r="P634" s="140"/>
      <c r="Q634" s="140"/>
      <c r="R634" s="140"/>
      <c r="S634" s="140"/>
      <c r="T634" s="140"/>
      <c r="U634" s="140"/>
      <c r="V634" s="140"/>
      <c r="W634" s="140"/>
      <c r="X634" s="140"/>
      <c r="Y634" s="140"/>
      <c r="Z634" s="140"/>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1:91">
      <c r="A635" s="147"/>
      <c r="B635" s="147"/>
      <c r="C635" s="147"/>
      <c r="D635" s="147"/>
      <c r="E635" s="147"/>
      <c r="F635" s="147"/>
      <c r="G635" s="147"/>
      <c r="H635" s="147"/>
      <c r="I635" s="147"/>
      <c r="J635" s="147"/>
      <c r="K635" s="140"/>
      <c r="L635" s="140"/>
      <c r="M635" s="140"/>
      <c r="N635" s="140"/>
      <c r="O635" s="141"/>
      <c r="P635" s="140"/>
      <c r="Q635" s="140"/>
      <c r="R635" s="140"/>
      <c r="S635" s="140"/>
      <c r="T635" s="140"/>
      <c r="U635" s="140"/>
      <c r="V635" s="140"/>
      <c r="W635" s="140"/>
      <c r="X635" s="140"/>
      <c r="Y635" s="140"/>
      <c r="Z635" s="140"/>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1:91">
      <c r="A636" s="147"/>
      <c r="B636" s="147"/>
      <c r="C636" s="147"/>
      <c r="D636" s="147"/>
      <c r="E636" s="147"/>
      <c r="F636" s="147"/>
      <c r="G636" s="147"/>
      <c r="H636" s="147"/>
      <c r="I636" s="147"/>
      <c r="J636" s="147"/>
      <c r="K636" s="140"/>
      <c r="L636" s="140"/>
      <c r="M636" s="140"/>
      <c r="N636" s="140"/>
      <c r="O636" s="141"/>
      <c r="P636" s="140"/>
      <c r="Q636" s="140"/>
      <c r="R636" s="140"/>
      <c r="S636" s="140"/>
      <c r="T636" s="140"/>
      <c r="U636" s="140"/>
      <c r="V636" s="140"/>
      <c r="W636" s="140"/>
      <c r="X636" s="140"/>
      <c r="Y636" s="140"/>
      <c r="Z636" s="140"/>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1:91">
      <c r="A637" s="147"/>
      <c r="B637" s="147"/>
      <c r="C637" s="147"/>
      <c r="D637" s="147"/>
      <c r="E637" s="147"/>
      <c r="F637" s="147"/>
      <c r="G637" s="147"/>
      <c r="H637" s="147"/>
      <c r="I637" s="147"/>
      <c r="J637" s="147"/>
      <c r="K637" s="140"/>
      <c r="L637" s="140"/>
      <c r="M637" s="140"/>
      <c r="N637" s="140"/>
      <c r="O637" s="141"/>
      <c r="P637" s="140"/>
      <c r="Q637" s="140"/>
      <c r="R637" s="140"/>
      <c r="S637" s="140"/>
      <c r="T637" s="140"/>
      <c r="U637" s="140"/>
      <c r="V637" s="140"/>
      <c r="W637" s="140"/>
      <c r="X637" s="140"/>
      <c r="Y637" s="140"/>
      <c r="Z637" s="140"/>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1:91">
      <c r="A638" s="147"/>
      <c r="B638" s="147"/>
      <c r="C638" s="147"/>
      <c r="D638" s="147"/>
      <c r="E638" s="147"/>
      <c r="F638" s="147"/>
      <c r="G638" s="147"/>
      <c r="H638" s="147"/>
      <c r="I638" s="147"/>
      <c r="J638" s="147"/>
      <c r="K638" s="140"/>
      <c r="L638" s="140"/>
      <c r="M638" s="140"/>
      <c r="N638" s="140"/>
      <c r="O638" s="141"/>
      <c r="P638" s="140"/>
      <c r="Q638" s="140"/>
      <c r="R638" s="140"/>
      <c r="S638" s="140"/>
      <c r="T638" s="140"/>
      <c r="U638" s="140"/>
      <c r="V638" s="140"/>
      <c r="W638" s="140"/>
      <c r="X638" s="140"/>
      <c r="Y638" s="140"/>
      <c r="Z638" s="140"/>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1:91">
      <c r="A639" s="147"/>
      <c r="B639" s="147"/>
      <c r="C639" s="147"/>
      <c r="D639" s="147"/>
      <c r="E639" s="147"/>
      <c r="F639" s="147"/>
      <c r="G639" s="147"/>
      <c r="H639" s="147"/>
      <c r="I639" s="147"/>
      <c r="J639" s="147"/>
      <c r="K639" s="140"/>
      <c r="L639" s="140"/>
      <c r="M639" s="140"/>
      <c r="N639" s="140"/>
      <c r="O639" s="141"/>
      <c r="P639" s="140"/>
      <c r="Q639" s="140"/>
      <c r="R639" s="140"/>
      <c r="S639" s="140"/>
      <c r="T639" s="140"/>
      <c r="U639" s="140"/>
      <c r="V639" s="140"/>
      <c r="W639" s="140"/>
      <c r="X639" s="140"/>
      <c r="Y639" s="140"/>
      <c r="Z639" s="140"/>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1:91">
      <c r="A640" s="147"/>
      <c r="B640" s="147"/>
      <c r="C640" s="147"/>
      <c r="D640" s="147"/>
      <c r="E640" s="147"/>
      <c r="F640" s="147"/>
      <c r="G640" s="147"/>
      <c r="H640" s="147"/>
      <c r="I640" s="147"/>
      <c r="J640" s="147"/>
      <c r="K640" s="140"/>
      <c r="L640" s="140"/>
      <c r="M640" s="140"/>
      <c r="N640" s="140"/>
      <c r="O640" s="141"/>
      <c r="P640" s="140"/>
      <c r="Q640" s="140"/>
      <c r="R640" s="140"/>
      <c r="S640" s="140"/>
      <c r="T640" s="140"/>
      <c r="U640" s="140"/>
      <c r="V640" s="140"/>
      <c r="W640" s="140"/>
      <c r="X640" s="140"/>
      <c r="Y640" s="140"/>
      <c r="Z640" s="1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1:91">
      <c r="A641" s="147"/>
      <c r="B641" s="147"/>
      <c r="C641" s="147"/>
      <c r="D641" s="147"/>
      <c r="E641" s="147"/>
      <c r="F641" s="147"/>
      <c r="G641" s="147"/>
      <c r="H641" s="147"/>
      <c r="I641" s="147"/>
      <c r="J641" s="147"/>
      <c r="K641" s="140"/>
      <c r="L641" s="140"/>
      <c r="M641" s="140"/>
      <c r="N641" s="140"/>
      <c r="O641" s="141"/>
      <c r="P641" s="140"/>
      <c r="Q641" s="140"/>
      <c r="R641" s="140"/>
      <c r="S641" s="140"/>
      <c r="T641" s="140"/>
      <c r="U641" s="140"/>
      <c r="V641" s="140"/>
      <c r="W641" s="140"/>
      <c r="X641" s="140"/>
      <c r="Y641" s="140"/>
      <c r="Z641" s="140"/>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1:91">
      <c r="A642" s="147"/>
      <c r="B642" s="147"/>
      <c r="C642" s="147"/>
      <c r="D642" s="147"/>
      <c r="E642" s="147"/>
      <c r="F642" s="147"/>
      <c r="G642" s="147"/>
      <c r="H642" s="147"/>
      <c r="I642" s="147"/>
      <c r="J642" s="147"/>
      <c r="K642" s="140"/>
      <c r="L642" s="140"/>
      <c r="M642" s="140"/>
      <c r="N642" s="140"/>
      <c r="O642" s="141"/>
      <c r="P642" s="140"/>
      <c r="Q642" s="140"/>
      <c r="R642" s="140"/>
      <c r="S642" s="140"/>
      <c r="T642" s="140"/>
      <c r="U642" s="140"/>
      <c r="V642" s="140"/>
      <c r="W642" s="140"/>
      <c r="X642" s="140"/>
      <c r="Y642" s="140"/>
      <c r="Z642" s="140"/>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1:91">
      <c r="A643" s="147"/>
      <c r="B643" s="147"/>
      <c r="C643" s="147"/>
      <c r="D643" s="147"/>
      <c r="E643" s="147"/>
      <c r="F643" s="147"/>
      <c r="G643" s="147"/>
      <c r="H643" s="147"/>
      <c r="I643" s="147"/>
      <c r="J643" s="147"/>
      <c r="K643" s="140"/>
      <c r="L643" s="140"/>
      <c r="M643" s="140"/>
      <c r="N643" s="140"/>
      <c r="O643" s="141"/>
      <c r="P643" s="140"/>
      <c r="Q643" s="140"/>
      <c r="R643" s="140"/>
      <c r="S643" s="140"/>
      <c r="T643" s="140"/>
      <c r="U643" s="140"/>
      <c r="V643" s="140"/>
      <c r="W643" s="140"/>
      <c r="X643" s="140"/>
      <c r="Y643" s="140"/>
      <c r="Z643" s="140"/>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1:91">
      <c r="A644" s="147"/>
      <c r="B644" s="147"/>
      <c r="C644" s="147"/>
      <c r="D644" s="147"/>
      <c r="E644" s="147"/>
      <c r="F644" s="147"/>
      <c r="G644" s="147"/>
      <c r="H644" s="147"/>
      <c r="I644" s="147"/>
      <c r="J644" s="147"/>
      <c r="K644" s="140"/>
      <c r="L644" s="140"/>
      <c r="M644" s="140"/>
      <c r="N644" s="140"/>
      <c r="O644" s="141"/>
      <c r="P644" s="140"/>
      <c r="Q644" s="140"/>
      <c r="R644" s="140"/>
      <c r="S644" s="140"/>
      <c r="T644" s="140"/>
      <c r="U644" s="140"/>
      <c r="V644" s="140"/>
      <c r="W644" s="140"/>
      <c r="X644" s="140"/>
      <c r="Y644" s="140"/>
      <c r="Z644" s="140"/>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1:91">
      <c r="A645" s="147"/>
      <c r="B645" s="147"/>
      <c r="C645" s="147"/>
      <c r="D645" s="147"/>
      <c r="E645" s="147"/>
      <c r="F645" s="147"/>
      <c r="G645" s="147"/>
      <c r="H645" s="147"/>
      <c r="I645" s="147"/>
      <c r="J645" s="147"/>
      <c r="K645" s="140"/>
      <c r="L645" s="140"/>
      <c r="M645" s="140"/>
      <c r="N645" s="140"/>
      <c r="O645" s="141"/>
      <c r="P645" s="140"/>
      <c r="Q645" s="140"/>
      <c r="R645" s="140"/>
      <c r="S645" s="140"/>
      <c r="T645" s="140"/>
      <c r="U645" s="140"/>
      <c r="V645" s="140"/>
      <c r="W645" s="140"/>
      <c r="X645" s="140"/>
      <c r="Y645" s="140"/>
      <c r="Z645" s="140"/>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1:91">
      <c r="A646" s="147"/>
      <c r="B646" s="147"/>
      <c r="C646" s="147"/>
      <c r="D646" s="147"/>
      <c r="E646" s="147"/>
      <c r="F646" s="147"/>
      <c r="G646" s="147"/>
      <c r="H646" s="147"/>
      <c r="I646" s="147"/>
      <c r="J646" s="147"/>
      <c r="K646" s="140"/>
      <c r="L646" s="140"/>
      <c r="M646" s="140"/>
      <c r="N646" s="140"/>
      <c r="O646" s="141"/>
      <c r="P646" s="140"/>
      <c r="Q646" s="140"/>
      <c r="R646" s="140"/>
      <c r="S646" s="140"/>
      <c r="T646" s="140"/>
      <c r="U646" s="140"/>
      <c r="V646" s="140"/>
      <c r="W646" s="140"/>
      <c r="X646" s="140"/>
      <c r="Y646" s="140"/>
      <c r="Z646" s="140"/>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1:91">
      <c r="A647" s="147"/>
      <c r="B647" s="147"/>
      <c r="C647" s="147"/>
      <c r="D647" s="147"/>
      <c r="E647" s="147"/>
      <c r="F647" s="147"/>
      <c r="G647" s="147"/>
      <c r="H647" s="147"/>
      <c r="I647" s="147"/>
      <c r="J647" s="147"/>
      <c r="K647" s="140"/>
      <c r="L647" s="140"/>
      <c r="M647" s="140"/>
      <c r="N647" s="140"/>
      <c r="O647" s="141"/>
      <c r="P647" s="140"/>
      <c r="Q647" s="140"/>
      <c r="R647" s="140"/>
      <c r="S647" s="140"/>
      <c r="T647" s="140"/>
      <c r="U647" s="140"/>
      <c r="V647" s="140"/>
      <c r="W647" s="140"/>
      <c r="X647" s="140"/>
      <c r="Y647" s="140"/>
      <c r="Z647" s="140"/>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1:91">
      <c r="A648" s="147"/>
      <c r="B648" s="147"/>
      <c r="C648" s="147"/>
      <c r="D648" s="147"/>
      <c r="E648" s="147"/>
      <c r="F648" s="147"/>
      <c r="G648" s="147"/>
      <c r="H648" s="147"/>
      <c r="I648" s="147"/>
      <c r="J648" s="147"/>
      <c r="K648" s="140"/>
      <c r="L648" s="140"/>
      <c r="M648" s="140"/>
      <c r="N648" s="140"/>
      <c r="O648" s="141"/>
      <c r="P648" s="140"/>
      <c r="Q648" s="140"/>
      <c r="R648" s="140"/>
      <c r="S648" s="140"/>
      <c r="T648" s="140"/>
      <c r="U648" s="140"/>
      <c r="V648" s="140"/>
      <c r="W648" s="140"/>
      <c r="X648" s="140"/>
      <c r="Y648" s="140"/>
      <c r="Z648" s="140"/>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1:91">
      <c r="A649" s="147"/>
      <c r="B649" s="147"/>
      <c r="C649" s="147"/>
      <c r="D649" s="147"/>
      <c r="E649" s="147"/>
      <c r="F649" s="147"/>
      <c r="G649" s="147"/>
      <c r="H649" s="147"/>
      <c r="I649" s="147"/>
      <c r="J649" s="147"/>
      <c r="K649" s="140"/>
      <c r="L649" s="140"/>
      <c r="M649" s="140"/>
      <c r="N649" s="140"/>
      <c r="O649" s="141"/>
      <c r="P649" s="140"/>
      <c r="Q649" s="140"/>
      <c r="R649" s="140"/>
      <c r="S649" s="140"/>
      <c r="T649" s="140"/>
      <c r="U649" s="140"/>
      <c r="V649" s="140"/>
      <c r="W649" s="140"/>
      <c r="X649" s="140"/>
      <c r="Y649" s="140"/>
      <c r="Z649" s="140"/>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1:91">
      <c r="A650" s="147"/>
      <c r="B650" s="147"/>
      <c r="C650" s="147"/>
      <c r="D650" s="147"/>
      <c r="E650" s="147"/>
      <c r="F650" s="147"/>
      <c r="G650" s="147"/>
      <c r="H650" s="147"/>
      <c r="I650" s="147"/>
      <c r="J650" s="147"/>
      <c r="K650" s="140"/>
      <c r="L650" s="140"/>
      <c r="M650" s="140"/>
      <c r="N650" s="140"/>
      <c r="O650" s="141"/>
      <c r="P650" s="140"/>
      <c r="Q650" s="140"/>
      <c r="R650" s="140"/>
      <c r="S650" s="140"/>
      <c r="T650" s="140"/>
      <c r="U650" s="140"/>
      <c r="V650" s="140"/>
      <c r="W650" s="140"/>
      <c r="X650" s="140"/>
      <c r="Y650" s="140"/>
      <c r="Z650" s="14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1:91">
      <c r="A651" s="147"/>
      <c r="B651" s="147"/>
      <c r="C651" s="147"/>
      <c r="D651" s="147"/>
      <c r="E651" s="147"/>
      <c r="F651" s="147"/>
      <c r="G651" s="147"/>
      <c r="H651" s="147"/>
      <c r="I651" s="147"/>
      <c r="J651" s="147"/>
      <c r="K651" s="140"/>
      <c r="L651" s="140"/>
      <c r="M651" s="140"/>
      <c r="N651" s="140"/>
      <c r="O651" s="141"/>
      <c r="P651" s="140"/>
      <c r="Q651" s="140"/>
      <c r="R651" s="140"/>
      <c r="S651" s="140"/>
      <c r="T651" s="140"/>
      <c r="U651" s="140"/>
      <c r="V651" s="140"/>
      <c r="W651" s="140"/>
      <c r="X651" s="140"/>
      <c r="Y651" s="140"/>
      <c r="Z651" s="140"/>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1:91">
      <c r="A652" s="147"/>
      <c r="B652" s="147"/>
      <c r="C652" s="147"/>
      <c r="D652" s="147"/>
      <c r="E652" s="147"/>
      <c r="F652" s="147"/>
      <c r="G652" s="147"/>
      <c r="H652" s="147"/>
      <c r="I652" s="147"/>
      <c r="J652" s="147"/>
      <c r="K652" s="140"/>
      <c r="L652" s="140"/>
      <c r="M652" s="140"/>
      <c r="N652" s="140"/>
      <c r="O652" s="141"/>
      <c r="P652" s="140"/>
      <c r="Q652" s="140"/>
      <c r="R652" s="140"/>
      <c r="S652" s="140"/>
      <c r="T652" s="140"/>
      <c r="U652" s="140"/>
      <c r="V652" s="140"/>
      <c r="W652" s="140"/>
      <c r="X652" s="140"/>
      <c r="Y652" s="140"/>
      <c r="Z652" s="140"/>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1:91">
      <c r="A653" s="147"/>
      <c r="B653" s="147"/>
      <c r="C653" s="147"/>
      <c r="D653" s="147"/>
      <c r="E653" s="147"/>
      <c r="F653" s="147"/>
      <c r="G653" s="147"/>
      <c r="H653" s="147"/>
      <c r="I653" s="147"/>
      <c r="J653" s="147"/>
      <c r="K653" s="140"/>
      <c r="L653" s="140"/>
      <c r="M653" s="140"/>
      <c r="N653" s="140"/>
      <c r="O653" s="141"/>
      <c r="P653" s="140"/>
      <c r="Q653" s="140"/>
      <c r="R653" s="140"/>
      <c r="S653" s="140"/>
      <c r="T653" s="140"/>
      <c r="U653" s="140"/>
      <c r="V653" s="140"/>
      <c r="W653" s="140"/>
      <c r="X653" s="140"/>
      <c r="Y653" s="140"/>
      <c r="Z653" s="140"/>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1:91">
      <c r="A654" s="147"/>
      <c r="B654" s="147"/>
      <c r="C654" s="147"/>
      <c r="D654" s="147"/>
      <c r="E654" s="147"/>
      <c r="F654" s="147"/>
      <c r="G654" s="147"/>
      <c r="H654" s="147"/>
      <c r="I654" s="147"/>
      <c r="J654" s="147"/>
      <c r="K654" s="140"/>
      <c r="L654" s="140"/>
      <c r="M654" s="140"/>
      <c r="N654" s="140"/>
      <c r="O654" s="141"/>
      <c r="P654" s="140"/>
      <c r="Q654" s="140"/>
      <c r="R654" s="140"/>
      <c r="S654" s="140"/>
      <c r="T654" s="140"/>
      <c r="U654" s="140"/>
      <c r="V654" s="140"/>
      <c r="W654" s="140"/>
      <c r="X654" s="140"/>
      <c r="Y654" s="140"/>
      <c r="Z654" s="140"/>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1:91">
      <c r="A655" s="147"/>
      <c r="B655" s="147"/>
      <c r="C655" s="147"/>
      <c r="D655" s="147"/>
      <c r="E655" s="147"/>
      <c r="F655" s="147"/>
      <c r="G655" s="147"/>
      <c r="H655" s="147"/>
      <c r="I655" s="147"/>
      <c r="J655" s="147"/>
      <c r="K655" s="140"/>
      <c r="L655" s="140"/>
      <c r="M655" s="140"/>
      <c r="N655" s="140"/>
      <c r="O655" s="141"/>
      <c r="P655" s="140"/>
      <c r="Q655" s="140"/>
      <c r="R655" s="140"/>
      <c r="S655" s="140"/>
      <c r="T655" s="140"/>
      <c r="U655" s="140"/>
      <c r="V655" s="140"/>
      <c r="W655" s="140"/>
      <c r="X655" s="140"/>
      <c r="Y655" s="140"/>
      <c r="Z655" s="140"/>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1:91">
      <c r="A656" s="147"/>
      <c r="B656" s="147"/>
      <c r="C656" s="147"/>
      <c r="D656" s="147"/>
      <c r="E656" s="147"/>
      <c r="F656" s="147"/>
      <c r="G656" s="147"/>
      <c r="H656" s="147"/>
      <c r="I656" s="147"/>
      <c r="J656" s="147"/>
      <c r="K656" s="140"/>
      <c r="L656" s="140"/>
      <c r="M656" s="140"/>
      <c r="N656" s="140"/>
      <c r="O656" s="141"/>
      <c r="P656" s="140"/>
      <c r="Q656" s="140"/>
      <c r="R656" s="140"/>
      <c r="S656" s="140"/>
      <c r="T656" s="140"/>
      <c r="U656" s="140"/>
      <c r="V656" s="140"/>
      <c r="W656" s="140"/>
      <c r="X656" s="140"/>
      <c r="Y656" s="140"/>
      <c r="Z656" s="140"/>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1:91">
      <c r="A657" s="147"/>
      <c r="B657" s="147"/>
      <c r="C657" s="147"/>
      <c r="D657" s="147"/>
      <c r="E657" s="147"/>
      <c r="F657" s="147"/>
      <c r="G657" s="147"/>
      <c r="H657" s="147"/>
      <c r="I657" s="147"/>
      <c r="J657" s="147"/>
      <c r="K657" s="140"/>
      <c r="L657" s="140"/>
      <c r="M657" s="140"/>
      <c r="N657" s="140"/>
      <c r="O657" s="141"/>
      <c r="P657" s="140"/>
      <c r="Q657" s="140"/>
      <c r="R657" s="140"/>
      <c r="S657" s="140"/>
      <c r="T657" s="140"/>
      <c r="U657" s="140"/>
      <c r="V657" s="140"/>
      <c r="W657" s="140"/>
      <c r="X657" s="140"/>
      <c r="Y657" s="140"/>
      <c r="Z657" s="140"/>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1:91">
      <c r="A658" s="147"/>
      <c r="B658" s="147"/>
      <c r="C658" s="147"/>
      <c r="D658" s="147"/>
      <c r="E658" s="147"/>
      <c r="F658" s="147"/>
      <c r="G658" s="147"/>
      <c r="H658" s="147"/>
      <c r="I658" s="147"/>
      <c r="J658" s="147"/>
      <c r="K658" s="140"/>
      <c r="L658" s="140"/>
      <c r="M658" s="140"/>
      <c r="N658" s="140"/>
      <c r="O658" s="141"/>
      <c r="P658" s="140"/>
      <c r="Q658" s="140"/>
      <c r="R658" s="140"/>
      <c r="S658" s="140"/>
      <c r="T658" s="140"/>
      <c r="U658" s="140"/>
      <c r="V658" s="140"/>
      <c r="W658" s="140"/>
      <c r="X658" s="140"/>
      <c r="Y658" s="140"/>
      <c r="Z658" s="140"/>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1:91">
      <c r="A659" s="147"/>
      <c r="B659" s="147"/>
      <c r="C659" s="147"/>
      <c r="D659" s="147"/>
      <c r="E659" s="147"/>
      <c r="F659" s="147"/>
      <c r="G659" s="147"/>
      <c r="H659" s="147"/>
      <c r="I659" s="147"/>
      <c r="J659" s="147"/>
      <c r="K659" s="140"/>
      <c r="L659" s="140"/>
      <c r="M659" s="140"/>
      <c r="N659" s="140"/>
      <c r="O659" s="141"/>
      <c r="P659" s="140"/>
      <c r="Q659" s="140"/>
      <c r="R659" s="140"/>
      <c r="S659" s="140"/>
      <c r="T659" s="140"/>
      <c r="U659" s="140"/>
      <c r="V659" s="140"/>
      <c r="W659" s="140"/>
      <c r="X659" s="140"/>
      <c r="Y659" s="140"/>
      <c r="Z659" s="140"/>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1:91">
      <c r="A660" s="147"/>
      <c r="B660" s="147"/>
      <c r="C660" s="147"/>
      <c r="D660" s="147"/>
      <c r="E660" s="147"/>
      <c r="F660" s="147"/>
      <c r="G660" s="147"/>
      <c r="H660" s="147"/>
      <c r="I660" s="147"/>
      <c r="J660" s="147"/>
      <c r="K660" s="140"/>
      <c r="L660" s="140"/>
      <c r="M660" s="140"/>
      <c r="N660" s="140"/>
      <c r="O660" s="141"/>
      <c r="P660" s="140"/>
      <c r="Q660" s="140"/>
      <c r="R660" s="140"/>
      <c r="S660" s="140"/>
      <c r="T660" s="140"/>
      <c r="U660" s="140"/>
      <c r="V660" s="140"/>
      <c r="W660" s="140"/>
      <c r="X660" s="140"/>
      <c r="Y660" s="140"/>
      <c r="Z660" s="14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1:91">
      <c r="A661" s="147"/>
      <c r="B661" s="147"/>
      <c r="C661" s="147"/>
      <c r="D661" s="147"/>
      <c r="E661" s="147"/>
      <c r="F661" s="147"/>
      <c r="G661" s="147"/>
      <c r="H661" s="147"/>
      <c r="I661" s="147"/>
      <c r="J661" s="147"/>
      <c r="K661" s="140"/>
      <c r="L661" s="140"/>
      <c r="M661" s="140"/>
      <c r="N661" s="140"/>
      <c r="O661" s="141"/>
      <c r="P661" s="140"/>
      <c r="Q661" s="140"/>
      <c r="R661" s="140"/>
      <c r="S661" s="140"/>
      <c r="T661" s="140"/>
      <c r="U661" s="140"/>
      <c r="V661" s="140"/>
      <c r="W661" s="140"/>
      <c r="X661" s="140"/>
      <c r="Y661" s="140"/>
      <c r="Z661" s="140"/>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1:91">
      <c r="A662" s="147"/>
      <c r="B662" s="147"/>
      <c r="C662" s="147"/>
      <c r="D662" s="147"/>
      <c r="E662" s="147"/>
      <c r="F662" s="147"/>
      <c r="G662" s="147"/>
      <c r="H662" s="147"/>
      <c r="I662" s="147"/>
      <c r="J662" s="147"/>
      <c r="K662" s="140"/>
      <c r="L662" s="140"/>
      <c r="M662" s="140"/>
      <c r="N662" s="140"/>
      <c r="O662" s="141"/>
      <c r="P662" s="140"/>
      <c r="Q662" s="140"/>
      <c r="R662" s="140"/>
      <c r="S662" s="140"/>
      <c r="T662" s="140"/>
      <c r="U662" s="140"/>
      <c r="V662" s="140"/>
      <c r="W662" s="140"/>
      <c r="X662" s="140"/>
      <c r="Y662" s="140"/>
      <c r="Z662" s="140"/>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1:91">
      <c r="A663" s="147"/>
      <c r="B663" s="147"/>
      <c r="C663" s="147"/>
      <c r="D663" s="147"/>
      <c r="E663" s="147"/>
      <c r="F663" s="147"/>
      <c r="G663" s="147"/>
      <c r="H663" s="147"/>
      <c r="I663" s="147"/>
      <c r="J663" s="147"/>
      <c r="K663" s="140"/>
      <c r="L663" s="140"/>
      <c r="M663" s="140"/>
      <c r="N663" s="140"/>
      <c r="O663" s="141"/>
      <c r="P663" s="140"/>
      <c r="Q663" s="140"/>
      <c r="R663" s="140"/>
      <c r="S663" s="140"/>
      <c r="T663" s="140"/>
      <c r="U663" s="140"/>
      <c r="V663" s="140"/>
      <c r="W663" s="140"/>
      <c r="X663" s="140"/>
      <c r="Y663" s="140"/>
      <c r="Z663" s="140"/>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1:91">
      <c r="A664" s="147"/>
      <c r="B664" s="147"/>
      <c r="C664" s="147"/>
      <c r="D664" s="147"/>
      <c r="E664" s="147"/>
      <c r="F664" s="147"/>
      <c r="G664" s="147"/>
      <c r="H664" s="147"/>
      <c r="I664" s="147"/>
      <c r="J664" s="147"/>
      <c r="K664" s="140"/>
      <c r="L664" s="140"/>
      <c r="M664" s="140"/>
      <c r="N664" s="140"/>
      <c r="O664" s="141"/>
      <c r="P664" s="140"/>
      <c r="Q664" s="140"/>
      <c r="R664" s="140"/>
      <c r="S664" s="140"/>
      <c r="T664" s="140"/>
      <c r="U664" s="140"/>
      <c r="V664" s="140"/>
      <c r="W664" s="140"/>
      <c r="X664" s="140"/>
      <c r="Y664" s="140"/>
      <c r="Z664" s="140"/>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1:91">
      <c r="A665" s="147"/>
      <c r="B665" s="147"/>
      <c r="C665" s="147"/>
      <c r="D665" s="147"/>
      <c r="E665" s="147"/>
      <c r="F665" s="147"/>
      <c r="G665" s="147"/>
      <c r="H665" s="147"/>
      <c r="I665" s="147"/>
      <c r="J665" s="147"/>
      <c r="K665" s="140"/>
      <c r="L665" s="140"/>
      <c r="M665" s="140"/>
      <c r="N665" s="140"/>
      <c r="O665" s="141"/>
      <c r="P665" s="140"/>
      <c r="Q665" s="140"/>
      <c r="R665" s="140"/>
      <c r="S665" s="140"/>
      <c r="T665" s="140"/>
      <c r="U665" s="140"/>
      <c r="V665" s="140"/>
      <c r="W665" s="140"/>
      <c r="X665" s="140"/>
      <c r="Y665" s="140"/>
      <c r="Z665" s="140"/>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1:91">
      <c r="A666" s="147"/>
      <c r="B666" s="147"/>
      <c r="C666" s="147"/>
      <c r="D666" s="147"/>
      <c r="E666" s="147"/>
      <c r="F666" s="147"/>
      <c r="G666" s="147"/>
      <c r="H666" s="147"/>
      <c r="I666" s="147"/>
      <c r="J666" s="147"/>
      <c r="K666" s="140"/>
      <c r="L666" s="140"/>
      <c r="M666" s="140"/>
      <c r="N666" s="140"/>
      <c r="O666" s="141"/>
      <c r="P666" s="140"/>
      <c r="Q666" s="140"/>
      <c r="R666" s="140"/>
      <c r="S666" s="140"/>
      <c r="T666" s="140"/>
      <c r="U666" s="140"/>
      <c r="V666" s="140"/>
      <c r="W666" s="140"/>
      <c r="X666" s="140"/>
      <c r="Y666" s="140"/>
      <c r="Z666" s="140"/>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1:91">
      <c r="A667" s="147"/>
      <c r="B667" s="147"/>
      <c r="C667" s="147"/>
      <c r="D667" s="147"/>
      <c r="E667" s="147"/>
      <c r="F667" s="147"/>
      <c r="G667" s="147"/>
      <c r="H667" s="147"/>
      <c r="I667" s="147"/>
      <c r="J667" s="147"/>
      <c r="K667" s="140"/>
      <c r="L667" s="140"/>
      <c r="M667" s="140"/>
      <c r="N667" s="140"/>
      <c r="O667" s="141"/>
      <c r="P667" s="140"/>
      <c r="Q667" s="140"/>
      <c r="R667" s="140"/>
      <c r="S667" s="140"/>
      <c r="T667" s="140"/>
      <c r="U667" s="140"/>
      <c r="V667" s="140"/>
      <c r="W667" s="140"/>
      <c r="X667" s="140"/>
      <c r="Y667" s="140"/>
      <c r="Z667" s="140"/>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1:91">
      <c r="A668" s="147"/>
      <c r="B668" s="147"/>
      <c r="C668" s="147"/>
      <c r="D668" s="147"/>
      <c r="E668" s="147"/>
      <c r="F668" s="147"/>
      <c r="G668" s="147"/>
      <c r="H668" s="147"/>
      <c r="I668" s="147"/>
      <c r="J668" s="147"/>
      <c r="K668" s="140"/>
      <c r="L668" s="140"/>
      <c r="M668" s="140"/>
      <c r="N668" s="140"/>
      <c r="O668" s="141"/>
      <c r="P668" s="140"/>
      <c r="Q668" s="140"/>
      <c r="R668" s="140"/>
      <c r="S668" s="140"/>
      <c r="T668" s="140"/>
      <c r="U668" s="140"/>
      <c r="V668" s="140"/>
      <c r="W668" s="140"/>
      <c r="X668" s="140"/>
      <c r="Y668" s="140"/>
      <c r="Z668" s="140"/>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1:91">
      <c r="A669" s="147"/>
      <c r="B669" s="147"/>
      <c r="C669" s="147"/>
      <c r="D669" s="147"/>
      <c r="E669" s="147"/>
      <c r="F669" s="147"/>
      <c r="G669" s="147"/>
      <c r="H669" s="147"/>
      <c r="I669" s="147"/>
      <c r="J669" s="147"/>
      <c r="K669" s="140"/>
      <c r="L669" s="140"/>
      <c r="M669" s="140"/>
      <c r="N669" s="140"/>
      <c r="O669" s="141"/>
      <c r="P669" s="140"/>
      <c r="Q669" s="140"/>
      <c r="R669" s="140"/>
      <c r="S669" s="140"/>
      <c r="T669" s="140"/>
      <c r="U669" s="140"/>
      <c r="V669" s="140"/>
      <c r="W669" s="140"/>
      <c r="X669" s="140"/>
      <c r="Y669" s="140"/>
      <c r="Z669" s="140"/>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1:91">
      <c r="A670" s="147"/>
      <c r="B670" s="147"/>
      <c r="C670" s="147"/>
      <c r="D670" s="147"/>
      <c r="E670" s="147"/>
      <c r="F670" s="147"/>
      <c r="G670" s="147"/>
      <c r="H670" s="147"/>
      <c r="I670" s="147"/>
      <c r="J670" s="147"/>
      <c r="K670" s="140"/>
      <c r="L670" s="140"/>
      <c r="M670" s="140"/>
      <c r="N670" s="140"/>
      <c r="O670" s="141"/>
      <c r="P670" s="140"/>
      <c r="Q670" s="140"/>
      <c r="R670" s="140"/>
      <c r="S670" s="140"/>
      <c r="T670" s="140"/>
      <c r="U670" s="140"/>
      <c r="V670" s="140"/>
      <c r="W670" s="140"/>
      <c r="X670" s="140"/>
      <c r="Y670" s="140"/>
      <c r="Z670" s="14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1:91">
      <c r="A671" s="147"/>
      <c r="B671" s="147"/>
      <c r="C671" s="147"/>
      <c r="D671" s="147"/>
      <c r="E671" s="147"/>
      <c r="F671" s="147"/>
      <c r="G671" s="147"/>
      <c r="H671" s="147"/>
      <c r="I671" s="147"/>
      <c r="J671" s="147"/>
      <c r="K671" s="140"/>
      <c r="L671" s="140"/>
      <c r="M671" s="140"/>
      <c r="N671" s="140"/>
      <c r="O671" s="141"/>
      <c r="P671" s="140"/>
      <c r="Q671" s="140"/>
      <c r="R671" s="140"/>
      <c r="S671" s="140"/>
      <c r="T671" s="140"/>
      <c r="U671" s="140"/>
      <c r="V671" s="140"/>
      <c r="W671" s="140"/>
      <c r="X671" s="140"/>
      <c r="Y671" s="140"/>
      <c r="Z671" s="140"/>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1:91">
      <c r="A672" s="147"/>
      <c r="B672" s="147"/>
      <c r="C672" s="147"/>
      <c r="D672" s="147"/>
      <c r="E672" s="147"/>
      <c r="F672" s="147"/>
      <c r="G672" s="147"/>
      <c r="H672" s="147"/>
      <c r="I672" s="147"/>
      <c r="J672" s="147"/>
      <c r="K672" s="147"/>
      <c r="L672" s="147"/>
      <c r="M672" s="147"/>
      <c r="N672" s="147"/>
      <c r="O672" s="158"/>
      <c r="P672" s="147"/>
      <c r="Q672" s="147"/>
      <c r="R672" s="147"/>
      <c r="S672" s="147"/>
      <c r="T672" s="147"/>
      <c r="U672" s="147"/>
      <c r="V672" s="147"/>
      <c r="W672" s="147"/>
      <c r="X672" s="147"/>
      <c r="Y672" s="147"/>
      <c r="Z672" s="147"/>
      <c r="AA672" s="147"/>
      <c r="AB672" s="147"/>
      <c r="AC672" s="147"/>
      <c r="AD672" s="147"/>
      <c r="AE672" s="147"/>
      <c r="AF672" s="147"/>
      <c r="AG672" s="147"/>
      <c r="AH672" s="147"/>
      <c r="AI672" s="147"/>
      <c r="AJ672" s="147"/>
      <c r="AK672" s="147"/>
      <c r="AL672" s="147"/>
      <c r="AM672" s="147"/>
      <c r="AN672" s="147"/>
      <c r="AO672" s="147"/>
      <c r="AP672" s="147"/>
      <c r="AQ672" s="147"/>
      <c r="AR672" s="147"/>
      <c r="AS672" s="147"/>
      <c r="AT672" s="147"/>
      <c r="AU672" s="147"/>
      <c r="AV672" s="147"/>
      <c r="AW672" s="147"/>
      <c r="AX672" s="147"/>
      <c r="AY672" s="147"/>
      <c r="AZ672" s="147"/>
      <c r="BA672" s="147"/>
      <c r="BB672" s="147"/>
      <c r="BC672" s="147"/>
      <c r="BD672" s="147"/>
      <c r="BE672" s="147"/>
      <c r="BF672" s="147"/>
      <c r="BG672" s="147"/>
      <c r="BH672" s="147"/>
      <c r="BI672" s="147"/>
      <c r="BJ672" s="147"/>
      <c r="BK672" s="147"/>
      <c r="BL672" s="147"/>
      <c r="BM672" s="147"/>
      <c r="BN672" s="147"/>
      <c r="BO672" s="147"/>
      <c r="BP672" s="147"/>
      <c r="BQ672" s="147"/>
      <c r="BR672" s="147"/>
      <c r="BS672" s="147"/>
      <c r="BT672" s="147"/>
      <c r="BU672" s="147"/>
      <c r="BV672" s="147"/>
      <c r="BW672" s="147"/>
      <c r="BX672" s="147"/>
      <c r="BY672" s="147"/>
      <c r="BZ672" s="147"/>
      <c r="CA672" s="147"/>
      <c r="CB672" s="147"/>
      <c r="CC672" s="147"/>
      <c r="CD672" s="147"/>
      <c r="CE672" s="147"/>
      <c r="CF672" s="147"/>
      <c r="CG672" s="147"/>
      <c r="CH672" s="147"/>
      <c r="CI672" s="147"/>
      <c r="CJ672" s="147"/>
      <c r="CK672" s="147"/>
    </row>
    <row r="673" spans="1:89">
      <c r="A673" s="147"/>
      <c r="B673" s="147"/>
      <c r="C673" s="147"/>
      <c r="D673" s="147"/>
      <c r="E673" s="147"/>
      <c r="F673" s="147"/>
      <c r="G673" s="147"/>
      <c r="H673" s="147"/>
      <c r="I673" s="147"/>
      <c r="J673" s="147"/>
      <c r="K673" s="147"/>
      <c r="L673" s="147"/>
      <c r="M673" s="147"/>
      <c r="N673" s="147"/>
      <c r="O673" s="158"/>
      <c r="P673" s="147"/>
      <c r="Q673" s="147"/>
      <c r="R673" s="147"/>
      <c r="S673" s="147"/>
      <c r="T673" s="147"/>
      <c r="U673" s="147"/>
      <c r="V673" s="147"/>
      <c r="W673" s="147"/>
      <c r="X673" s="147"/>
      <c r="Y673" s="147"/>
      <c r="Z673" s="147"/>
      <c r="AA673" s="147"/>
      <c r="AB673" s="147"/>
      <c r="AC673" s="147"/>
      <c r="AD673" s="147"/>
      <c r="AE673" s="147"/>
      <c r="AF673" s="147"/>
      <c r="AG673" s="147"/>
      <c r="AH673" s="147"/>
      <c r="AI673" s="147"/>
      <c r="AJ673" s="147"/>
      <c r="AK673" s="147"/>
      <c r="AL673" s="147"/>
      <c r="AM673" s="147"/>
      <c r="AN673" s="147"/>
      <c r="AO673" s="147"/>
      <c r="AP673" s="147"/>
      <c r="AQ673" s="147"/>
      <c r="AR673" s="147"/>
      <c r="AS673" s="147"/>
      <c r="AT673" s="147"/>
      <c r="AU673" s="147"/>
      <c r="AV673" s="147"/>
      <c r="AW673" s="147"/>
      <c r="AX673" s="147"/>
      <c r="AY673" s="147"/>
      <c r="AZ673" s="147"/>
      <c r="BA673" s="147"/>
      <c r="BB673" s="147"/>
      <c r="BC673" s="147"/>
      <c r="BD673" s="147"/>
      <c r="BE673" s="147"/>
      <c r="BF673" s="147"/>
      <c r="BG673" s="147"/>
      <c r="BH673" s="147"/>
      <c r="BI673" s="147"/>
      <c r="BJ673" s="147"/>
      <c r="BK673" s="147"/>
      <c r="BL673" s="147"/>
      <c r="BM673" s="147"/>
      <c r="BN673" s="147"/>
      <c r="BO673" s="147"/>
      <c r="BP673" s="147"/>
      <c r="BQ673" s="147"/>
      <c r="BR673" s="147"/>
      <c r="BS673" s="147"/>
      <c r="BT673" s="147"/>
      <c r="BU673" s="147"/>
      <c r="BV673" s="147"/>
      <c r="BW673" s="147"/>
      <c r="BX673" s="147"/>
      <c r="BY673" s="147"/>
      <c r="BZ673" s="147"/>
      <c r="CA673" s="147"/>
      <c r="CB673" s="147"/>
      <c r="CC673" s="147"/>
      <c r="CD673" s="147"/>
      <c r="CE673" s="147"/>
      <c r="CF673" s="147"/>
      <c r="CG673" s="147"/>
      <c r="CH673" s="147"/>
      <c r="CI673" s="147"/>
      <c r="CJ673" s="147"/>
      <c r="CK673" s="147"/>
    </row>
    <row r="674" spans="1:89">
      <c r="A674" s="147"/>
      <c r="B674" s="147"/>
      <c r="C674" s="147"/>
      <c r="D674" s="147"/>
      <c r="E674" s="147"/>
      <c r="F674" s="147"/>
      <c r="G674" s="147"/>
      <c r="H674" s="147"/>
      <c r="I674" s="147"/>
      <c r="J674" s="147"/>
      <c r="K674" s="147"/>
      <c r="L674" s="147"/>
      <c r="M674" s="147"/>
      <c r="N674" s="147"/>
      <c r="O674" s="158"/>
      <c r="P674" s="147"/>
      <c r="Q674" s="147"/>
      <c r="R674" s="147"/>
      <c r="S674" s="147"/>
      <c r="T674" s="147"/>
      <c r="U674" s="147"/>
      <c r="V674" s="147"/>
      <c r="W674" s="147"/>
      <c r="X674" s="147"/>
      <c r="Y674" s="147"/>
      <c r="Z674" s="147"/>
      <c r="AA674" s="147"/>
      <c r="AB674" s="147"/>
      <c r="AC674" s="147"/>
      <c r="AD674" s="147"/>
      <c r="AE674" s="147"/>
      <c r="AF674" s="147"/>
      <c r="AG674" s="147"/>
      <c r="AH674" s="147"/>
      <c r="AI674" s="147"/>
      <c r="AJ674" s="147"/>
      <c r="AK674" s="147"/>
      <c r="AL674" s="147"/>
      <c r="AM674" s="147"/>
      <c r="AN674" s="147"/>
      <c r="AO674" s="147"/>
      <c r="AP674" s="147"/>
      <c r="AQ674" s="147"/>
      <c r="AR674" s="147"/>
      <c r="AS674" s="147"/>
      <c r="AT674" s="147"/>
      <c r="AU674" s="147"/>
      <c r="AV674" s="147"/>
      <c r="AW674" s="147"/>
      <c r="AX674" s="147"/>
      <c r="AY674" s="147"/>
      <c r="AZ674" s="147"/>
      <c r="BA674" s="147"/>
      <c r="BB674" s="147"/>
      <c r="BC674" s="147"/>
      <c r="BD674" s="147"/>
      <c r="BE674" s="147"/>
      <c r="BF674" s="147"/>
      <c r="BG674" s="147"/>
      <c r="BH674" s="147"/>
      <c r="BI674" s="147"/>
      <c r="BJ674" s="147"/>
      <c r="BK674" s="147"/>
      <c r="BL674" s="147"/>
      <c r="BM674" s="147"/>
      <c r="BN674" s="147"/>
      <c r="BO674" s="147"/>
      <c r="BP674" s="147"/>
      <c r="BQ674" s="147"/>
      <c r="BR674" s="147"/>
      <c r="BS674" s="147"/>
      <c r="BT674" s="147"/>
      <c r="BU674" s="147"/>
      <c r="BV674" s="147"/>
      <c r="BW674" s="147"/>
      <c r="BX674" s="147"/>
      <c r="BY674" s="147"/>
      <c r="BZ674" s="147"/>
      <c r="CA674" s="147"/>
      <c r="CB674" s="147"/>
      <c r="CC674" s="147"/>
      <c r="CD674" s="147"/>
      <c r="CE674" s="147"/>
      <c r="CF674" s="147"/>
      <c r="CG674" s="147"/>
      <c r="CH674" s="147"/>
      <c r="CI674" s="147"/>
      <c r="CJ674" s="147"/>
      <c r="CK674" s="147"/>
    </row>
    <row r="675" spans="1:89">
      <c r="A675" s="147"/>
      <c r="B675" s="147"/>
      <c r="C675" s="147"/>
      <c r="D675" s="147"/>
      <c r="E675" s="147"/>
      <c r="F675" s="147"/>
      <c r="G675" s="147"/>
      <c r="H675" s="147"/>
      <c r="I675" s="147"/>
      <c r="J675" s="147"/>
      <c r="K675" s="147"/>
      <c r="L675" s="147"/>
      <c r="M675" s="147"/>
      <c r="N675" s="147"/>
      <c r="O675" s="158"/>
      <c r="P675" s="147"/>
      <c r="Q675" s="147"/>
      <c r="R675" s="147"/>
      <c r="S675" s="147"/>
      <c r="T675" s="147"/>
      <c r="U675" s="147"/>
      <c r="V675" s="147"/>
      <c r="W675" s="147"/>
      <c r="X675" s="147"/>
      <c r="Y675" s="147"/>
      <c r="Z675" s="147"/>
      <c r="AA675" s="147"/>
      <c r="AB675" s="147"/>
      <c r="AC675" s="147"/>
      <c r="AD675" s="147"/>
      <c r="AE675" s="147"/>
      <c r="AF675" s="147"/>
      <c r="AG675" s="147"/>
      <c r="AH675" s="147"/>
      <c r="AI675" s="147"/>
      <c r="AJ675" s="147"/>
      <c r="AK675" s="147"/>
      <c r="AL675" s="147"/>
      <c r="AM675" s="147"/>
      <c r="AN675" s="147"/>
      <c r="AO675" s="147"/>
      <c r="AP675" s="147"/>
      <c r="AQ675" s="147"/>
      <c r="AR675" s="147"/>
      <c r="AS675" s="147"/>
      <c r="AT675" s="147"/>
      <c r="AU675" s="147"/>
      <c r="AV675" s="147"/>
      <c r="AW675" s="147"/>
      <c r="AX675" s="147"/>
      <c r="AY675" s="147"/>
      <c r="AZ675" s="147"/>
      <c r="BA675" s="147"/>
      <c r="BB675" s="147"/>
      <c r="BC675" s="147"/>
      <c r="BD675" s="147"/>
      <c r="BE675" s="147"/>
      <c r="BF675" s="147"/>
      <c r="BG675" s="147"/>
      <c r="BH675" s="147"/>
      <c r="BI675" s="147"/>
      <c r="BJ675" s="147"/>
      <c r="BK675" s="147"/>
      <c r="BL675" s="147"/>
      <c r="BM675" s="147"/>
      <c r="BN675" s="147"/>
      <c r="BO675" s="147"/>
      <c r="BP675" s="147"/>
      <c r="BQ675" s="147"/>
      <c r="BR675" s="147"/>
      <c r="BS675" s="147"/>
      <c r="BT675" s="147"/>
      <c r="BU675" s="147"/>
      <c r="BV675" s="147"/>
      <c r="BW675" s="147"/>
      <c r="BX675" s="147"/>
      <c r="BY675" s="147"/>
      <c r="BZ675" s="147"/>
      <c r="CA675" s="147"/>
      <c r="CB675" s="147"/>
      <c r="CC675" s="147"/>
      <c r="CD675" s="147"/>
      <c r="CE675" s="147"/>
      <c r="CF675" s="147"/>
      <c r="CG675" s="147"/>
      <c r="CH675" s="147"/>
      <c r="CI675" s="147"/>
      <c r="CJ675" s="147"/>
      <c r="CK675" s="147"/>
    </row>
    <row r="676" spans="1:89">
      <c r="A676" s="147"/>
      <c r="B676" s="147"/>
      <c r="C676" s="147"/>
      <c r="D676" s="147"/>
      <c r="E676" s="147"/>
      <c r="F676" s="147"/>
      <c r="G676" s="147"/>
      <c r="H676" s="147"/>
      <c r="I676" s="147"/>
      <c r="J676" s="147"/>
      <c r="K676" s="147"/>
      <c r="L676" s="147"/>
      <c r="M676" s="147"/>
      <c r="N676" s="147"/>
      <c r="O676" s="158"/>
      <c r="P676" s="147"/>
      <c r="Q676" s="147"/>
      <c r="R676" s="147"/>
      <c r="S676" s="147"/>
      <c r="T676" s="147"/>
      <c r="U676" s="147"/>
      <c r="V676" s="147"/>
      <c r="W676" s="147"/>
      <c r="X676" s="147"/>
      <c r="Y676" s="147"/>
      <c r="Z676" s="147"/>
      <c r="AA676" s="147"/>
      <c r="AB676" s="147"/>
      <c r="AC676" s="147"/>
      <c r="AD676" s="147"/>
      <c r="AE676" s="147"/>
      <c r="AF676" s="147"/>
      <c r="AG676" s="147"/>
      <c r="AH676" s="147"/>
      <c r="AI676" s="147"/>
      <c r="AJ676" s="147"/>
      <c r="AK676" s="147"/>
      <c r="AL676" s="147"/>
      <c r="AM676" s="147"/>
      <c r="AN676" s="147"/>
      <c r="AO676" s="147"/>
      <c r="AP676" s="147"/>
      <c r="AQ676" s="147"/>
      <c r="AR676" s="147"/>
      <c r="AS676" s="147"/>
      <c r="AT676" s="147"/>
      <c r="AU676" s="147"/>
      <c r="AV676" s="147"/>
      <c r="AW676" s="147"/>
      <c r="AX676" s="147"/>
      <c r="AY676" s="147"/>
      <c r="AZ676" s="147"/>
      <c r="BA676" s="147"/>
      <c r="BB676" s="147"/>
      <c r="BC676" s="147"/>
      <c r="BD676" s="147"/>
      <c r="BE676" s="147"/>
      <c r="BF676" s="147"/>
      <c r="BG676" s="147"/>
      <c r="BH676" s="147"/>
      <c r="BI676" s="147"/>
      <c r="BJ676" s="147"/>
      <c r="BK676" s="147"/>
      <c r="BL676" s="147"/>
      <c r="BM676" s="147"/>
      <c r="BN676" s="147"/>
      <c r="BO676" s="147"/>
      <c r="BP676" s="147"/>
      <c r="BQ676" s="147"/>
      <c r="BR676" s="147"/>
      <c r="BS676" s="147"/>
      <c r="BT676" s="147"/>
      <c r="BU676" s="147"/>
      <c r="BV676" s="147"/>
      <c r="BW676" s="147"/>
      <c r="BX676" s="147"/>
      <c r="BY676" s="147"/>
      <c r="BZ676" s="147"/>
      <c r="CA676" s="147"/>
      <c r="CB676" s="147"/>
      <c r="CC676" s="147"/>
      <c r="CD676" s="147"/>
      <c r="CE676" s="147"/>
      <c r="CF676" s="147"/>
      <c r="CG676" s="147"/>
      <c r="CH676" s="147"/>
      <c r="CI676" s="147"/>
      <c r="CJ676" s="147"/>
      <c r="CK676" s="147"/>
    </row>
    <row r="677" spans="1:89">
      <c r="A677" s="147"/>
      <c r="B677" s="147"/>
      <c r="C677" s="147"/>
      <c r="D677" s="147"/>
      <c r="E677" s="147"/>
      <c r="F677" s="147"/>
      <c r="G677" s="147"/>
      <c r="H677" s="147"/>
      <c r="I677" s="147"/>
      <c r="J677" s="147"/>
      <c r="K677" s="147"/>
      <c r="L677" s="147"/>
      <c r="M677" s="147"/>
      <c r="N677" s="147"/>
      <c r="O677" s="158"/>
      <c r="P677" s="147"/>
      <c r="Q677" s="147"/>
      <c r="R677" s="147"/>
      <c r="S677" s="147"/>
      <c r="T677" s="147"/>
      <c r="U677" s="147"/>
      <c r="V677" s="147"/>
      <c r="W677" s="147"/>
      <c r="X677" s="147"/>
      <c r="Y677" s="147"/>
      <c r="Z677" s="147"/>
      <c r="AA677" s="147"/>
      <c r="AB677" s="147"/>
      <c r="AC677" s="147"/>
      <c r="AD677" s="147"/>
      <c r="AE677" s="147"/>
      <c r="AF677" s="147"/>
      <c r="AG677" s="147"/>
      <c r="AH677" s="147"/>
      <c r="AI677" s="147"/>
      <c r="AJ677" s="147"/>
      <c r="AK677" s="147"/>
      <c r="AL677" s="147"/>
      <c r="AM677" s="147"/>
      <c r="AN677" s="147"/>
      <c r="AO677" s="147"/>
      <c r="AP677" s="147"/>
      <c r="AQ677" s="147"/>
      <c r="AR677" s="147"/>
      <c r="AS677" s="147"/>
      <c r="AT677" s="147"/>
      <c r="AU677" s="147"/>
      <c r="AV677" s="147"/>
      <c r="AW677" s="147"/>
      <c r="AX677" s="147"/>
      <c r="AY677" s="147"/>
      <c r="AZ677" s="147"/>
      <c r="BA677" s="147"/>
      <c r="BB677" s="147"/>
      <c r="BC677" s="147"/>
      <c r="BD677" s="147"/>
      <c r="BE677" s="147"/>
      <c r="BF677" s="147"/>
      <c r="BG677" s="147"/>
      <c r="BH677" s="147"/>
      <c r="BI677" s="147"/>
      <c r="BJ677" s="147"/>
      <c r="BK677" s="147"/>
      <c r="BL677" s="147"/>
      <c r="BM677" s="147"/>
      <c r="BN677" s="147"/>
      <c r="BO677" s="147"/>
      <c r="BP677" s="147"/>
      <c r="BQ677" s="147"/>
      <c r="BR677" s="147"/>
      <c r="BS677" s="147"/>
      <c r="BT677" s="147"/>
      <c r="BU677" s="147"/>
      <c r="BV677" s="147"/>
      <c r="BW677" s="147"/>
      <c r="BX677" s="147"/>
      <c r="BY677" s="147"/>
      <c r="BZ677" s="147"/>
      <c r="CA677" s="147"/>
      <c r="CB677" s="147"/>
      <c r="CC677" s="147"/>
      <c r="CD677" s="147"/>
      <c r="CE677" s="147"/>
      <c r="CF677" s="147"/>
      <c r="CG677" s="147"/>
      <c r="CH677" s="147"/>
      <c r="CI677" s="147"/>
      <c r="CJ677" s="147"/>
      <c r="CK677" s="147"/>
    </row>
    <row r="678" spans="1:89">
      <c r="A678" s="147"/>
      <c r="B678" s="147"/>
      <c r="C678" s="147"/>
      <c r="D678" s="147"/>
      <c r="E678" s="147"/>
      <c r="F678" s="147"/>
      <c r="G678" s="147"/>
      <c r="H678" s="147"/>
      <c r="I678" s="147"/>
      <c r="J678" s="147"/>
      <c r="K678" s="147"/>
      <c r="L678" s="147"/>
      <c r="M678" s="147"/>
      <c r="N678" s="147"/>
      <c r="O678" s="158"/>
      <c r="P678" s="147"/>
      <c r="Q678" s="147"/>
      <c r="R678" s="147"/>
      <c r="S678" s="147"/>
      <c r="T678" s="147"/>
      <c r="U678" s="147"/>
      <c r="V678" s="147"/>
      <c r="W678" s="147"/>
      <c r="X678" s="147"/>
      <c r="Y678" s="147"/>
      <c r="Z678" s="147"/>
      <c r="AA678" s="147"/>
      <c r="AB678" s="147"/>
      <c r="AC678" s="147"/>
      <c r="AD678" s="147"/>
      <c r="AE678" s="147"/>
      <c r="AF678" s="147"/>
      <c r="AG678" s="147"/>
      <c r="AH678" s="147"/>
      <c r="AI678" s="147"/>
      <c r="AJ678" s="147"/>
      <c r="AK678" s="147"/>
      <c r="AL678" s="147"/>
      <c r="AM678" s="147"/>
      <c r="AN678" s="147"/>
      <c r="AO678" s="147"/>
      <c r="AP678" s="147"/>
      <c r="AQ678" s="147"/>
      <c r="AR678" s="147"/>
      <c r="AS678" s="147"/>
      <c r="AT678" s="147"/>
      <c r="AU678" s="147"/>
      <c r="AV678" s="147"/>
      <c r="AW678" s="147"/>
      <c r="AX678" s="147"/>
      <c r="AY678" s="147"/>
      <c r="AZ678" s="147"/>
      <c r="BA678" s="147"/>
      <c r="BB678" s="147"/>
      <c r="BC678" s="147"/>
      <c r="BD678" s="147"/>
      <c r="BE678" s="147"/>
      <c r="BF678" s="147"/>
      <c r="BG678" s="147"/>
      <c r="BH678" s="147"/>
      <c r="BI678" s="147"/>
      <c r="BJ678" s="147"/>
      <c r="BK678" s="147"/>
      <c r="BL678" s="147"/>
      <c r="BM678" s="147"/>
      <c r="BN678" s="147"/>
      <c r="BO678" s="147"/>
      <c r="BP678" s="147"/>
      <c r="BQ678" s="147"/>
      <c r="BR678" s="147"/>
      <c r="BS678" s="147"/>
      <c r="BT678" s="147"/>
      <c r="BU678" s="147"/>
      <c r="BV678" s="147"/>
      <c r="BW678" s="147"/>
      <c r="BX678" s="147"/>
      <c r="BY678" s="147"/>
      <c r="BZ678" s="147"/>
      <c r="CA678" s="147"/>
      <c r="CB678" s="147"/>
      <c r="CC678" s="147"/>
      <c r="CD678" s="147"/>
      <c r="CE678" s="147"/>
      <c r="CF678" s="147"/>
      <c r="CG678" s="147"/>
      <c r="CH678" s="147"/>
      <c r="CI678" s="147"/>
      <c r="CJ678" s="147"/>
      <c r="CK678" s="147"/>
    </row>
    <row r="679" spans="1:89">
      <c r="A679" s="147"/>
      <c r="B679" s="147"/>
      <c r="C679" s="147"/>
      <c r="D679" s="147"/>
      <c r="E679" s="147"/>
      <c r="F679" s="147"/>
      <c r="G679" s="147"/>
      <c r="H679" s="147"/>
      <c r="I679" s="147"/>
      <c r="J679" s="147"/>
      <c r="K679" s="147"/>
      <c r="L679" s="147"/>
      <c r="M679" s="147"/>
      <c r="N679" s="147"/>
      <c r="O679" s="158"/>
      <c r="P679" s="147"/>
      <c r="Q679" s="147"/>
      <c r="R679" s="147"/>
      <c r="S679" s="147"/>
      <c r="T679" s="147"/>
      <c r="U679" s="147"/>
      <c r="V679" s="147"/>
      <c r="W679" s="147"/>
      <c r="X679" s="147"/>
      <c r="Y679" s="147"/>
      <c r="Z679" s="147"/>
      <c r="AA679" s="147"/>
      <c r="AB679" s="147"/>
      <c r="AC679" s="147"/>
      <c r="AD679" s="147"/>
      <c r="AE679" s="147"/>
      <c r="AF679" s="147"/>
      <c r="AG679" s="147"/>
      <c r="AH679" s="147"/>
      <c r="AI679" s="147"/>
      <c r="AJ679" s="147"/>
      <c r="AK679" s="147"/>
      <c r="AL679" s="147"/>
      <c r="AM679" s="147"/>
      <c r="AN679" s="147"/>
      <c r="AO679" s="147"/>
      <c r="AP679" s="147"/>
      <c r="AQ679" s="147"/>
      <c r="AR679" s="147"/>
      <c r="AS679" s="147"/>
      <c r="AT679" s="147"/>
      <c r="AU679" s="147"/>
      <c r="AV679" s="147"/>
      <c r="AW679" s="147"/>
      <c r="AX679" s="147"/>
      <c r="AY679" s="147"/>
      <c r="AZ679" s="147"/>
      <c r="BA679" s="147"/>
      <c r="BB679" s="147"/>
      <c r="BC679" s="147"/>
      <c r="BD679" s="147"/>
      <c r="BE679" s="147"/>
      <c r="BF679" s="147"/>
      <c r="BG679" s="147"/>
      <c r="BH679" s="147"/>
      <c r="BI679" s="147"/>
      <c r="BJ679" s="147"/>
      <c r="BK679" s="147"/>
      <c r="BL679" s="147"/>
      <c r="BM679" s="147"/>
      <c r="BN679" s="147"/>
      <c r="BO679" s="147"/>
      <c r="BP679" s="147"/>
      <c r="BQ679" s="147"/>
      <c r="BR679" s="147"/>
      <c r="BS679" s="147"/>
      <c r="BT679" s="147"/>
      <c r="BU679" s="147"/>
      <c r="BV679" s="147"/>
      <c r="BW679" s="147"/>
      <c r="BX679" s="147"/>
      <c r="BY679" s="147"/>
      <c r="BZ679" s="147"/>
      <c r="CA679" s="147"/>
      <c r="CB679" s="147"/>
      <c r="CC679" s="147"/>
      <c r="CD679" s="147"/>
      <c r="CE679" s="147"/>
      <c r="CF679" s="147"/>
      <c r="CG679" s="147"/>
      <c r="CH679" s="147"/>
      <c r="CI679" s="147"/>
      <c r="CJ679" s="147"/>
      <c r="CK679" s="147"/>
    </row>
    <row r="680" spans="1:89">
      <c r="A680" s="147"/>
      <c r="B680" s="147"/>
      <c r="C680" s="147"/>
      <c r="D680" s="147"/>
      <c r="E680" s="147"/>
      <c r="F680" s="147"/>
      <c r="G680" s="147"/>
      <c r="H680" s="147"/>
      <c r="I680" s="147"/>
      <c r="J680" s="147"/>
      <c r="K680" s="147"/>
      <c r="L680" s="147"/>
      <c r="M680" s="147"/>
      <c r="N680" s="147"/>
      <c r="O680" s="158"/>
      <c r="P680" s="147"/>
      <c r="Q680" s="147"/>
      <c r="R680" s="147"/>
      <c r="S680" s="147"/>
      <c r="T680" s="147"/>
      <c r="U680" s="147"/>
      <c r="V680" s="147"/>
      <c r="W680" s="147"/>
      <c r="X680" s="147"/>
      <c r="Y680" s="147"/>
      <c r="Z680" s="147"/>
      <c r="AA680" s="147"/>
      <c r="AB680" s="147"/>
      <c r="AC680" s="147"/>
      <c r="AD680" s="147"/>
      <c r="AE680" s="147"/>
      <c r="AF680" s="147"/>
      <c r="AG680" s="147"/>
      <c r="AH680" s="147"/>
      <c r="AI680" s="147"/>
      <c r="AJ680" s="147"/>
      <c r="AK680" s="147"/>
      <c r="AL680" s="147"/>
      <c r="AM680" s="147"/>
      <c r="AN680" s="147"/>
      <c r="AO680" s="147"/>
      <c r="AP680" s="147"/>
      <c r="AQ680" s="147"/>
      <c r="AR680" s="147"/>
      <c r="AS680" s="147"/>
      <c r="AT680" s="147"/>
      <c r="AU680" s="147"/>
      <c r="AV680" s="147"/>
      <c r="AW680" s="147"/>
      <c r="AX680" s="147"/>
      <c r="AY680" s="147"/>
      <c r="AZ680" s="147"/>
      <c r="BA680" s="147"/>
      <c r="BB680" s="147"/>
      <c r="BC680" s="147"/>
      <c r="BD680" s="147"/>
      <c r="BE680" s="147"/>
      <c r="BF680" s="147"/>
      <c r="BG680" s="147"/>
      <c r="BH680" s="147"/>
      <c r="BI680" s="147"/>
      <c r="BJ680" s="147"/>
      <c r="BK680" s="147"/>
      <c r="BL680" s="147"/>
      <c r="BM680" s="147"/>
      <c r="BN680" s="147"/>
      <c r="BO680" s="147"/>
      <c r="BP680" s="147"/>
      <c r="BQ680" s="147"/>
      <c r="BR680" s="147"/>
      <c r="BS680" s="147"/>
      <c r="BT680" s="147"/>
      <c r="BU680" s="147"/>
      <c r="BV680" s="147"/>
      <c r="BW680" s="147"/>
      <c r="BX680" s="147"/>
      <c r="BY680" s="147"/>
      <c r="BZ680" s="147"/>
      <c r="CA680" s="147"/>
      <c r="CB680" s="147"/>
      <c r="CC680" s="147"/>
      <c r="CD680" s="147"/>
      <c r="CE680" s="147"/>
      <c r="CF680" s="147"/>
      <c r="CG680" s="147"/>
      <c r="CH680" s="147"/>
      <c r="CI680" s="147"/>
      <c r="CJ680" s="147"/>
      <c r="CK680" s="147"/>
    </row>
    <row r="681" spans="1:89">
      <c r="A681" s="147"/>
      <c r="B681" s="147"/>
      <c r="C681" s="147"/>
      <c r="D681" s="147"/>
      <c r="E681" s="147"/>
      <c r="F681" s="147"/>
      <c r="G681" s="147"/>
      <c r="H681" s="147"/>
      <c r="I681" s="147"/>
      <c r="J681" s="147"/>
      <c r="K681" s="147"/>
      <c r="L681" s="147"/>
      <c r="M681" s="147"/>
      <c r="N681" s="147"/>
      <c r="O681" s="158"/>
      <c r="P681" s="147"/>
      <c r="Q681" s="147"/>
      <c r="R681" s="147"/>
      <c r="S681" s="147"/>
      <c r="T681" s="147"/>
      <c r="U681" s="147"/>
      <c r="V681" s="147"/>
      <c r="W681" s="147"/>
      <c r="X681" s="147"/>
      <c r="Y681" s="147"/>
      <c r="Z681" s="147"/>
      <c r="AA681" s="147"/>
      <c r="AB681" s="147"/>
      <c r="AC681" s="147"/>
      <c r="AD681" s="147"/>
      <c r="AE681" s="147"/>
      <c r="AF681" s="147"/>
      <c r="AG681" s="147"/>
      <c r="AH681" s="147"/>
      <c r="AI681" s="147"/>
      <c r="AJ681" s="147"/>
      <c r="AK681" s="147"/>
      <c r="AL681" s="147"/>
      <c r="AM681" s="147"/>
      <c r="AN681" s="147"/>
      <c r="AO681" s="147"/>
      <c r="AP681" s="147"/>
      <c r="AQ681" s="147"/>
      <c r="AR681" s="147"/>
      <c r="AS681" s="147"/>
      <c r="AT681" s="147"/>
      <c r="AU681" s="147"/>
      <c r="AV681" s="147"/>
      <c r="AW681" s="147"/>
      <c r="AX681" s="147"/>
      <c r="AY681" s="147"/>
      <c r="AZ681" s="147"/>
      <c r="BA681" s="147"/>
      <c r="BB681" s="147"/>
      <c r="BC681" s="147"/>
      <c r="BD681" s="147"/>
      <c r="BE681" s="147"/>
      <c r="BF681" s="147"/>
      <c r="BG681" s="147"/>
      <c r="BH681" s="147"/>
      <c r="BI681" s="147"/>
      <c r="BJ681" s="147"/>
      <c r="BK681" s="147"/>
      <c r="BL681" s="147"/>
      <c r="BM681" s="147"/>
      <c r="BN681" s="147"/>
      <c r="BO681" s="147"/>
      <c r="BP681" s="147"/>
      <c r="BQ681" s="147"/>
      <c r="BR681" s="147"/>
      <c r="BS681" s="147"/>
      <c r="BT681" s="147"/>
      <c r="BU681" s="147"/>
      <c r="BV681" s="147"/>
      <c r="BW681" s="147"/>
      <c r="BX681" s="147"/>
      <c r="BY681" s="147"/>
      <c r="BZ681" s="147"/>
      <c r="CA681" s="147"/>
      <c r="CB681" s="147"/>
      <c r="CC681" s="147"/>
      <c r="CD681" s="147"/>
      <c r="CE681" s="147"/>
      <c r="CF681" s="147"/>
      <c r="CG681" s="147"/>
      <c r="CH681" s="147"/>
      <c r="CI681" s="147"/>
      <c r="CJ681" s="147"/>
      <c r="CK681" s="147"/>
    </row>
    <row r="682" spans="1:89">
      <c r="A682" s="147"/>
      <c r="B682" s="147"/>
      <c r="C682" s="147"/>
      <c r="D682" s="147"/>
      <c r="E682" s="147"/>
      <c r="F682" s="147"/>
      <c r="G682" s="147"/>
      <c r="H682" s="147"/>
      <c r="I682" s="147"/>
      <c r="J682" s="147"/>
      <c r="K682" s="147"/>
      <c r="L682" s="147"/>
      <c r="M682" s="147"/>
      <c r="N682" s="147"/>
      <c r="O682" s="158"/>
      <c r="P682" s="147"/>
      <c r="Q682" s="147"/>
      <c r="R682" s="147"/>
      <c r="S682" s="147"/>
      <c r="T682" s="147"/>
      <c r="U682" s="147"/>
      <c r="V682" s="147"/>
      <c r="W682" s="147"/>
      <c r="X682" s="147"/>
      <c r="Y682" s="147"/>
      <c r="Z682" s="147"/>
      <c r="AA682" s="147"/>
      <c r="AB682" s="147"/>
      <c r="AC682" s="147"/>
      <c r="AD682" s="147"/>
      <c r="AE682" s="147"/>
      <c r="AF682" s="147"/>
      <c r="AG682" s="147"/>
      <c r="AH682" s="147"/>
      <c r="AI682" s="147"/>
      <c r="AJ682" s="147"/>
      <c r="AK682" s="147"/>
      <c r="AL682" s="147"/>
      <c r="AM682" s="147"/>
      <c r="AN682" s="147"/>
      <c r="AO682" s="147"/>
      <c r="AP682" s="147"/>
      <c r="AQ682" s="147"/>
      <c r="AR682" s="147"/>
      <c r="AS682" s="147"/>
      <c r="AT682" s="147"/>
      <c r="AU682" s="147"/>
      <c r="AV682" s="147"/>
      <c r="AW682" s="147"/>
      <c r="AX682" s="147"/>
      <c r="AY682" s="147"/>
      <c r="AZ682" s="147"/>
      <c r="BA682" s="147"/>
      <c r="BB682" s="147"/>
      <c r="BC682" s="147"/>
      <c r="BD682" s="147"/>
      <c r="BE682" s="147"/>
      <c r="BF682" s="147"/>
      <c r="BG682" s="147"/>
      <c r="BH682" s="147"/>
      <c r="BI682" s="147"/>
      <c r="BJ682" s="147"/>
      <c r="BK682" s="147"/>
      <c r="BL682" s="147"/>
      <c r="BM682" s="147"/>
      <c r="BN682" s="147"/>
      <c r="BO682" s="147"/>
      <c r="BP682" s="147"/>
      <c r="BQ682" s="147"/>
      <c r="BR682" s="147"/>
      <c r="BS682" s="147"/>
      <c r="BT682" s="147"/>
      <c r="BU682" s="147"/>
      <c r="BV682" s="147"/>
      <c r="BW682" s="147"/>
      <c r="BX682" s="147"/>
      <c r="BY682" s="147"/>
      <c r="BZ682" s="147"/>
      <c r="CA682" s="147"/>
      <c r="CB682" s="147"/>
      <c r="CC682" s="147"/>
      <c r="CD682" s="147"/>
      <c r="CE682" s="147"/>
      <c r="CF682" s="147"/>
      <c r="CG682" s="147"/>
      <c r="CH682" s="147"/>
      <c r="CI682" s="147"/>
      <c r="CJ682" s="147"/>
      <c r="CK682" s="147"/>
    </row>
    <row r="683" spans="1:89">
      <c r="A683" s="147"/>
      <c r="B683" s="147"/>
      <c r="C683" s="147"/>
      <c r="D683" s="147"/>
      <c r="E683" s="147"/>
      <c r="F683" s="147"/>
      <c r="G683" s="147"/>
      <c r="H683" s="147"/>
      <c r="I683" s="147"/>
      <c r="J683" s="147"/>
      <c r="K683" s="147"/>
      <c r="L683" s="147"/>
      <c r="M683" s="147"/>
      <c r="N683" s="147"/>
      <c r="O683" s="158"/>
      <c r="P683" s="147"/>
      <c r="Q683" s="147"/>
      <c r="R683" s="147"/>
      <c r="S683" s="147"/>
      <c r="T683" s="147"/>
      <c r="U683" s="147"/>
      <c r="V683" s="147"/>
      <c r="W683" s="147"/>
      <c r="X683" s="147"/>
      <c r="Y683" s="147"/>
      <c r="Z683" s="147"/>
      <c r="AA683" s="147"/>
      <c r="AB683" s="147"/>
      <c r="AC683" s="147"/>
      <c r="AD683" s="147"/>
      <c r="AE683" s="147"/>
      <c r="AF683" s="147"/>
      <c r="AG683" s="147"/>
      <c r="AH683" s="147"/>
      <c r="AI683" s="147"/>
      <c r="AJ683" s="147"/>
      <c r="AK683" s="147"/>
      <c r="AL683" s="147"/>
      <c r="AM683" s="147"/>
      <c r="AN683" s="147"/>
      <c r="AO683" s="147"/>
      <c r="AP683" s="147"/>
      <c r="AQ683" s="147"/>
      <c r="AR683" s="147"/>
      <c r="AS683" s="147"/>
      <c r="AT683" s="147"/>
      <c r="AU683" s="147"/>
      <c r="AV683" s="147"/>
      <c r="AW683" s="147"/>
      <c r="AX683" s="147"/>
      <c r="AY683" s="147"/>
      <c r="AZ683" s="147"/>
      <c r="BA683" s="147"/>
      <c r="BB683" s="147"/>
      <c r="BC683" s="147"/>
      <c r="BD683" s="147"/>
      <c r="BE683" s="147"/>
      <c r="BF683" s="147"/>
      <c r="BG683" s="147"/>
      <c r="BH683" s="147"/>
      <c r="BI683" s="147"/>
      <c r="BJ683" s="147"/>
      <c r="BK683" s="147"/>
      <c r="BL683" s="147"/>
      <c r="BM683" s="147"/>
      <c r="BN683" s="147"/>
      <c r="BO683" s="147"/>
      <c r="BP683" s="147"/>
      <c r="BQ683" s="147"/>
      <c r="BR683" s="147"/>
      <c r="BS683" s="147"/>
      <c r="BT683" s="147"/>
      <c r="BU683" s="147"/>
      <c r="BV683" s="147"/>
      <c r="BW683" s="147"/>
      <c r="BX683" s="147"/>
      <c r="BY683" s="147"/>
      <c r="BZ683" s="147"/>
      <c r="CA683" s="147"/>
      <c r="CB683" s="147"/>
      <c r="CC683" s="147"/>
      <c r="CD683" s="147"/>
      <c r="CE683" s="147"/>
      <c r="CF683" s="147"/>
      <c r="CG683" s="147"/>
      <c r="CH683" s="147"/>
      <c r="CI683" s="147"/>
      <c r="CJ683" s="147"/>
      <c r="CK683" s="147"/>
    </row>
    <row r="684" spans="1:89">
      <c r="A684" s="147"/>
      <c r="B684" s="147"/>
      <c r="C684" s="147"/>
      <c r="D684" s="147"/>
      <c r="E684" s="147"/>
      <c r="F684" s="147"/>
      <c r="G684" s="147"/>
      <c r="H684" s="147"/>
      <c r="I684" s="147"/>
      <c r="J684" s="147"/>
      <c r="K684" s="147"/>
      <c r="L684" s="147"/>
      <c r="M684" s="147"/>
      <c r="N684" s="147"/>
      <c r="O684" s="158"/>
      <c r="P684" s="147"/>
      <c r="Q684" s="147"/>
      <c r="R684" s="147"/>
      <c r="S684" s="147"/>
      <c r="T684" s="147"/>
      <c r="U684" s="147"/>
      <c r="V684" s="147"/>
      <c r="W684" s="147"/>
      <c r="X684" s="147"/>
      <c r="Y684" s="147"/>
      <c r="Z684" s="147"/>
      <c r="AA684" s="147"/>
      <c r="AB684" s="147"/>
      <c r="AC684" s="147"/>
      <c r="AD684" s="147"/>
      <c r="AE684" s="147"/>
      <c r="AF684" s="147"/>
      <c r="AG684" s="147"/>
      <c r="AH684" s="147"/>
      <c r="AI684" s="147"/>
      <c r="AJ684" s="147"/>
      <c r="AK684" s="147"/>
      <c r="AL684" s="147"/>
      <c r="AM684" s="147"/>
      <c r="AN684" s="147"/>
      <c r="AO684" s="147"/>
      <c r="AP684" s="147"/>
      <c r="AQ684" s="147"/>
      <c r="AR684" s="147"/>
      <c r="AS684" s="147"/>
      <c r="AT684" s="147"/>
      <c r="AU684" s="147"/>
      <c r="AV684" s="147"/>
      <c r="AW684" s="147"/>
      <c r="AX684" s="147"/>
      <c r="AY684" s="147"/>
      <c r="AZ684" s="147"/>
      <c r="BA684" s="147"/>
      <c r="BB684" s="147"/>
      <c r="BC684" s="147"/>
      <c r="BD684" s="147"/>
      <c r="BE684" s="147"/>
      <c r="BF684" s="147"/>
      <c r="BG684" s="147"/>
      <c r="BH684" s="147"/>
      <c r="BI684" s="147"/>
      <c r="BJ684" s="147"/>
      <c r="BK684" s="147"/>
      <c r="BL684" s="147"/>
      <c r="BM684" s="147"/>
      <c r="BN684" s="147"/>
      <c r="BO684" s="147"/>
      <c r="BP684" s="147"/>
      <c r="BQ684" s="147"/>
      <c r="BR684" s="147"/>
      <c r="BS684" s="147"/>
      <c r="BT684" s="147"/>
      <c r="BU684" s="147"/>
      <c r="BV684" s="147"/>
      <c r="BW684" s="147"/>
      <c r="BX684" s="147"/>
      <c r="BY684" s="147"/>
      <c r="BZ684" s="147"/>
      <c r="CA684" s="147"/>
      <c r="CB684" s="147"/>
      <c r="CC684" s="147"/>
      <c r="CD684" s="147"/>
      <c r="CE684" s="147"/>
      <c r="CF684" s="147"/>
      <c r="CG684" s="147"/>
      <c r="CH684" s="147"/>
      <c r="CI684" s="147"/>
      <c r="CJ684" s="147"/>
      <c r="CK684" s="147"/>
    </row>
    <row r="685" spans="1:89">
      <c r="A685" s="147"/>
      <c r="B685" s="147"/>
      <c r="C685" s="147"/>
      <c r="D685" s="147"/>
      <c r="E685" s="147"/>
      <c r="F685" s="147"/>
      <c r="G685" s="147"/>
      <c r="H685" s="147"/>
      <c r="I685" s="147"/>
      <c r="J685" s="147"/>
      <c r="K685" s="147"/>
      <c r="L685" s="147"/>
      <c r="M685" s="147"/>
      <c r="N685" s="147"/>
      <c r="O685" s="158"/>
      <c r="P685" s="147"/>
      <c r="Q685" s="147"/>
      <c r="R685" s="147"/>
      <c r="S685" s="147"/>
      <c r="T685" s="147"/>
      <c r="U685" s="147"/>
      <c r="V685" s="147"/>
      <c r="W685" s="147"/>
      <c r="X685" s="147"/>
      <c r="Y685" s="147"/>
      <c r="Z685" s="147"/>
      <c r="AA685" s="147"/>
      <c r="AB685" s="147"/>
      <c r="AC685" s="147"/>
      <c r="AD685" s="147"/>
      <c r="AE685" s="147"/>
      <c r="AF685" s="147"/>
      <c r="AG685" s="147"/>
      <c r="AH685" s="147"/>
      <c r="AI685" s="147"/>
      <c r="AJ685" s="147"/>
      <c r="AK685" s="147"/>
      <c r="AL685" s="147"/>
      <c r="AM685" s="147"/>
      <c r="AN685" s="147"/>
      <c r="AO685" s="147"/>
      <c r="AP685" s="147"/>
      <c r="AQ685" s="147"/>
      <c r="AR685" s="147"/>
      <c r="AS685" s="147"/>
      <c r="AT685" s="147"/>
      <c r="AU685" s="147"/>
      <c r="AV685" s="147"/>
      <c r="AW685" s="147"/>
      <c r="AX685" s="147"/>
      <c r="AY685" s="147"/>
      <c r="AZ685" s="147"/>
      <c r="BA685" s="147"/>
      <c r="BB685" s="147"/>
      <c r="BC685" s="147"/>
      <c r="BD685" s="147"/>
      <c r="BE685" s="147"/>
      <c r="BF685" s="147"/>
      <c r="BG685" s="147"/>
      <c r="BH685" s="147"/>
      <c r="BI685" s="147"/>
      <c r="BJ685" s="147"/>
      <c r="BK685" s="147"/>
      <c r="BL685" s="147"/>
      <c r="BM685" s="147"/>
      <c r="BN685" s="147"/>
      <c r="BO685" s="147"/>
      <c r="BP685" s="147"/>
      <c r="BQ685" s="147"/>
      <c r="BR685" s="147"/>
      <c r="BS685" s="147"/>
      <c r="BT685" s="147"/>
      <c r="BU685" s="147"/>
      <c r="BV685" s="147"/>
      <c r="BW685" s="147"/>
      <c r="BX685" s="147"/>
      <c r="BY685" s="147"/>
      <c r="BZ685" s="147"/>
      <c r="CA685" s="147"/>
      <c r="CB685" s="147"/>
      <c r="CC685" s="147"/>
      <c r="CD685" s="147"/>
      <c r="CE685" s="147"/>
      <c r="CF685" s="147"/>
      <c r="CG685" s="147"/>
      <c r="CH685" s="147"/>
      <c r="CI685" s="147"/>
      <c r="CJ685" s="147"/>
      <c r="CK685" s="147"/>
    </row>
    <row r="686" spans="1:89">
      <c r="A686" s="147"/>
      <c r="B686" s="147"/>
      <c r="C686" s="147"/>
      <c r="D686" s="147"/>
      <c r="E686" s="147"/>
      <c r="F686" s="147"/>
      <c r="G686" s="147"/>
      <c r="H686" s="147"/>
      <c r="I686" s="147"/>
      <c r="J686" s="147"/>
      <c r="K686" s="147"/>
      <c r="L686" s="147"/>
      <c r="M686" s="147"/>
      <c r="N686" s="147"/>
      <c r="O686" s="158"/>
      <c r="P686" s="147"/>
      <c r="Q686" s="147"/>
      <c r="R686" s="147"/>
      <c r="S686" s="147"/>
      <c r="T686" s="147"/>
      <c r="U686" s="147"/>
      <c r="V686" s="147"/>
      <c r="W686" s="147"/>
      <c r="X686" s="147"/>
      <c r="Y686" s="147"/>
      <c r="Z686" s="147"/>
      <c r="AA686" s="147"/>
      <c r="AB686" s="147"/>
      <c r="AC686" s="147"/>
      <c r="AD686" s="147"/>
      <c r="AE686" s="147"/>
      <c r="AF686" s="147"/>
      <c r="AG686" s="147"/>
      <c r="AH686" s="147"/>
      <c r="AI686" s="147"/>
      <c r="AJ686" s="147"/>
      <c r="AK686" s="147"/>
      <c r="AL686" s="147"/>
      <c r="AM686" s="147"/>
      <c r="AN686" s="147"/>
      <c r="AO686" s="147"/>
      <c r="AP686" s="147"/>
      <c r="AQ686" s="147"/>
      <c r="AR686" s="147"/>
      <c r="AS686" s="147"/>
      <c r="AT686" s="147"/>
      <c r="AU686" s="147"/>
      <c r="AV686" s="147"/>
      <c r="AW686" s="147"/>
      <c r="AX686" s="147"/>
      <c r="AY686" s="147"/>
      <c r="AZ686" s="147"/>
      <c r="BA686" s="147"/>
      <c r="BB686" s="147"/>
      <c r="BC686" s="147"/>
      <c r="BD686" s="147"/>
      <c r="BE686" s="147"/>
      <c r="BF686" s="147"/>
      <c r="BG686" s="147"/>
      <c r="BH686" s="147"/>
      <c r="BI686" s="147"/>
      <c r="BJ686" s="147"/>
      <c r="BK686" s="147"/>
      <c r="BL686" s="147"/>
      <c r="BM686" s="147"/>
      <c r="BN686" s="147"/>
      <c r="BO686" s="147"/>
      <c r="BP686" s="147"/>
      <c r="BQ686" s="147"/>
      <c r="BR686" s="147"/>
      <c r="BS686" s="147"/>
      <c r="BT686" s="147"/>
      <c r="BU686" s="147"/>
      <c r="BV686" s="147"/>
      <c r="BW686" s="147"/>
      <c r="BX686" s="147"/>
      <c r="BY686" s="147"/>
      <c r="BZ686" s="147"/>
      <c r="CA686" s="147"/>
      <c r="CB686" s="147"/>
      <c r="CC686" s="147"/>
      <c r="CD686" s="147"/>
      <c r="CE686" s="147"/>
      <c r="CF686" s="147"/>
      <c r="CG686" s="147"/>
      <c r="CH686" s="147"/>
      <c r="CI686" s="147"/>
      <c r="CJ686" s="147"/>
      <c r="CK686" s="147"/>
    </row>
    <row r="687" spans="1:89">
      <c r="A687" s="147"/>
      <c r="B687" s="147"/>
      <c r="C687" s="147"/>
      <c r="D687" s="147"/>
      <c r="E687" s="147"/>
      <c r="F687" s="147"/>
      <c r="G687" s="147"/>
      <c r="H687" s="147"/>
      <c r="I687" s="147"/>
      <c r="J687" s="147"/>
      <c r="K687" s="147"/>
      <c r="L687" s="147"/>
      <c r="M687" s="147"/>
      <c r="N687" s="147"/>
      <c r="O687" s="158"/>
      <c r="P687" s="147"/>
      <c r="Q687" s="147"/>
      <c r="R687" s="147"/>
      <c r="S687" s="147"/>
      <c r="T687" s="147"/>
      <c r="U687" s="147"/>
      <c r="V687" s="147"/>
      <c r="W687" s="147"/>
      <c r="X687" s="147"/>
      <c r="Y687" s="147"/>
      <c r="Z687" s="147"/>
      <c r="AA687" s="147"/>
      <c r="AB687" s="147"/>
      <c r="AC687" s="147"/>
      <c r="AD687" s="147"/>
      <c r="AE687" s="147"/>
      <c r="AF687" s="147"/>
      <c r="AG687" s="147"/>
      <c r="AH687" s="147"/>
      <c r="AI687" s="147"/>
      <c r="AJ687" s="147"/>
      <c r="AK687" s="147"/>
      <c r="AL687" s="147"/>
      <c r="AM687" s="147"/>
      <c r="AN687" s="147"/>
      <c r="AO687" s="147"/>
      <c r="AP687" s="147"/>
      <c r="AQ687" s="147"/>
      <c r="AR687" s="147"/>
      <c r="AS687" s="147"/>
      <c r="AT687" s="147"/>
      <c r="AU687" s="147"/>
      <c r="AV687" s="147"/>
      <c r="AW687" s="147"/>
      <c r="AX687" s="147"/>
      <c r="AY687" s="147"/>
      <c r="AZ687" s="147"/>
      <c r="BA687" s="147"/>
      <c r="BB687" s="147"/>
      <c r="BC687" s="147"/>
      <c r="BD687" s="147"/>
      <c r="BE687" s="147"/>
      <c r="BF687" s="147"/>
      <c r="BG687" s="147"/>
      <c r="BH687" s="147"/>
      <c r="BI687" s="147"/>
      <c r="BJ687" s="147"/>
      <c r="BK687" s="147"/>
      <c r="BL687" s="147"/>
      <c r="BM687" s="147"/>
      <c r="BN687" s="147"/>
      <c r="BO687" s="147"/>
      <c r="BP687" s="147"/>
      <c r="BQ687" s="147"/>
      <c r="BR687" s="147"/>
      <c r="BS687" s="147"/>
      <c r="BT687" s="147"/>
      <c r="BU687" s="147"/>
      <c r="BV687" s="147"/>
      <c r="BW687" s="147"/>
      <c r="BX687" s="147"/>
      <c r="BY687" s="147"/>
      <c r="BZ687" s="147"/>
      <c r="CA687" s="147"/>
      <c r="CB687" s="147"/>
      <c r="CC687" s="147"/>
      <c r="CD687" s="147"/>
      <c r="CE687" s="147"/>
      <c r="CF687" s="147"/>
      <c r="CG687" s="147"/>
      <c r="CH687" s="147"/>
      <c r="CI687" s="147"/>
      <c r="CJ687" s="147"/>
      <c r="CK687" s="147"/>
    </row>
    <row r="688" spans="1:89">
      <c r="A688" s="147"/>
      <c r="B688" s="147"/>
      <c r="C688" s="147"/>
      <c r="D688" s="147"/>
      <c r="E688" s="147"/>
      <c r="F688" s="147"/>
      <c r="G688" s="147"/>
      <c r="H688" s="147"/>
      <c r="I688" s="147"/>
      <c r="J688" s="147"/>
      <c r="K688" s="147"/>
      <c r="L688" s="147"/>
      <c r="M688" s="147"/>
      <c r="N688" s="147"/>
      <c r="O688" s="158"/>
      <c r="P688" s="147"/>
      <c r="Q688" s="147"/>
      <c r="R688" s="147"/>
      <c r="S688" s="147"/>
      <c r="T688" s="147"/>
      <c r="U688" s="147"/>
      <c r="V688" s="147"/>
      <c r="W688" s="147"/>
      <c r="X688" s="147"/>
      <c r="Y688" s="147"/>
      <c r="Z688" s="147"/>
      <c r="AA688" s="147"/>
      <c r="AB688" s="147"/>
      <c r="AC688" s="147"/>
      <c r="AD688" s="147"/>
      <c r="AE688" s="147"/>
      <c r="AF688" s="147"/>
      <c r="AG688" s="147"/>
      <c r="AH688" s="147"/>
      <c r="AI688" s="147"/>
      <c r="AJ688" s="147"/>
      <c r="AK688" s="147"/>
      <c r="AL688" s="147"/>
      <c r="AM688" s="147"/>
      <c r="AN688" s="147"/>
      <c r="AO688" s="147"/>
      <c r="AP688" s="147"/>
      <c r="AQ688" s="147"/>
      <c r="AR688" s="147"/>
      <c r="AS688" s="147"/>
      <c r="AT688" s="147"/>
      <c r="AU688" s="147"/>
      <c r="AV688" s="147"/>
      <c r="AW688" s="147"/>
      <c r="AX688" s="147"/>
      <c r="AY688" s="147"/>
      <c r="AZ688" s="147"/>
      <c r="BA688" s="147"/>
      <c r="BB688" s="147"/>
      <c r="BC688" s="147"/>
      <c r="BD688" s="147"/>
      <c r="BE688" s="147"/>
      <c r="BF688" s="147"/>
      <c r="BG688" s="147"/>
      <c r="BH688" s="147"/>
      <c r="BI688" s="147"/>
      <c r="BJ688" s="147"/>
      <c r="BK688" s="147"/>
      <c r="BL688" s="147"/>
      <c r="BM688" s="147"/>
      <c r="BN688" s="147"/>
      <c r="BO688" s="147"/>
      <c r="BP688" s="147"/>
      <c r="BQ688" s="147"/>
      <c r="BR688" s="147"/>
      <c r="BS688" s="147"/>
      <c r="BT688" s="147"/>
      <c r="BU688" s="147"/>
      <c r="BV688" s="147"/>
      <c r="BW688" s="147"/>
      <c r="BX688" s="147"/>
      <c r="BY688" s="147"/>
      <c r="BZ688" s="147"/>
      <c r="CA688" s="147"/>
      <c r="CB688" s="147"/>
      <c r="CC688" s="147"/>
      <c r="CD688" s="147"/>
      <c r="CE688" s="147"/>
      <c r="CF688" s="147"/>
      <c r="CG688" s="147"/>
      <c r="CH688" s="147"/>
      <c r="CI688" s="147"/>
      <c r="CJ688" s="147"/>
      <c r="CK688" s="147"/>
    </row>
    <row r="689" spans="1:89">
      <c r="A689" s="147"/>
      <c r="B689" s="147"/>
      <c r="C689" s="147"/>
      <c r="D689" s="147"/>
      <c r="E689" s="147"/>
      <c r="F689" s="147"/>
      <c r="G689" s="147"/>
      <c r="H689" s="147"/>
      <c r="I689" s="147"/>
      <c r="J689" s="147"/>
      <c r="K689" s="147"/>
      <c r="L689" s="147"/>
      <c r="M689" s="147"/>
      <c r="N689" s="147"/>
      <c r="O689" s="158"/>
      <c r="P689" s="147"/>
      <c r="Q689" s="147"/>
      <c r="R689" s="147"/>
      <c r="S689" s="147"/>
      <c r="T689" s="147"/>
      <c r="U689" s="147"/>
      <c r="V689" s="147"/>
      <c r="W689" s="147"/>
      <c r="X689" s="147"/>
      <c r="Y689" s="147"/>
      <c r="Z689" s="147"/>
      <c r="AA689" s="147"/>
      <c r="AB689" s="147"/>
      <c r="AC689" s="147"/>
      <c r="AD689" s="147"/>
      <c r="AE689" s="147"/>
      <c r="AF689" s="147"/>
      <c r="AG689" s="147"/>
      <c r="AH689" s="147"/>
      <c r="AI689" s="147"/>
      <c r="AJ689" s="147"/>
      <c r="AK689" s="147"/>
      <c r="AL689" s="147"/>
      <c r="AM689" s="147"/>
      <c r="AN689" s="147"/>
      <c r="AO689" s="147"/>
      <c r="AP689" s="147"/>
      <c r="AQ689" s="147"/>
      <c r="AR689" s="147"/>
      <c r="AS689" s="147"/>
      <c r="AT689" s="147"/>
      <c r="AU689" s="147"/>
      <c r="AV689" s="147"/>
      <c r="AW689" s="147"/>
      <c r="AX689" s="147"/>
      <c r="AY689" s="147"/>
      <c r="AZ689" s="147"/>
      <c r="BA689" s="147"/>
      <c r="BB689" s="147"/>
      <c r="BC689" s="147"/>
      <c r="BD689" s="147"/>
      <c r="BE689" s="147"/>
      <c r="BF689" s="147"/>
      <c r="BG689" s="147"/>
      <c r="BH689" s="147"/>
      <c r="BI689" s="147"/>
      <c r="BJ689" s="147"/>
      <c r="BK689" s="147"/>
      <c r="BL689" s="147"/>
      <c r="BM689" s="147"/>
      <c r="BN689" s="147"/>
      <c r="BO689" s="147"/>
      <c r="BP689" s="147"/>
      <c r="BQ689" s="147"/>
      <c r="BR689" s="147"/>
      <c r="BS689" s="147"/>
      <c r="BT689" s="147"/>
      <c r="BU689" s="147"/>
      <c r="BV689" s="147"/>
      <c r="BW689" s="147"/>
      <c r="BX689" s="147"/>
      <c r="BY689" s="147"/>
      <c r="BZ689" s="147"/>
      <c r="CA689" s="147"/>
      <c r="CB689" s="147"/>
      <c r="CC689" s="147"/>
      <c r="CD689" s="147"/>
      <c r="CE689" s="147"/>
      <c r="CF689" s="147"/>
      <c r="CG689" s="147"/>
      <c r="CH689" s="147"/>
      <c r="CI689" s="147"/>
      <c r="CJ689" s="147"/>
      <c r="CK689" s="147"/>
    </row>
    <row r="690" spans="1:89">
      <c r="A690" s="147"/>
      <c r="B690" s="147"/>
      <c r="C690" s="147"/>
      <c r="D690" s="147"/>
      <c r="E690" s="147"/>
      <c r="F690" s="147"/>
      <c r="G690" s="147"/>
      <c r="H690" s="147"/>
      <c r="I690" s="147"/>
      <c r="J690" s="147"/>
      <c r="K690" s="147"/>
      <c r="L690" s="147"/>
      <c r="M690" s="147"/>
      <c r="N690" s="147"/>
      <c r="O690" s="158"/>
      <c r="P690" s="147"/>
      <c r="Q690" s="147"/>
      <c r="R690" s="147"/>
      <c r="S690" s="147"/>
      <c r="T690" s="147"/>
      <c r="U690" s="147"/>
      <c r="V690" s="147"/>
      <c r="W690" s="147"/>
      <c r="X690" s="147"/>
      <c r="Y690" s="147"/>
      <c r="Z690" s="147"/>
      <c r="AA690" s="147"/>
      <c r="AB690" s="147"/>
      <c r="AC690" s="147"/>
      <c r="AD690" s="147"/>
      <c r="AE690" s="147"/>
      <c r="AF690" s="147"/>
      <c r="AG690" s="147"/>
      <c r="AH690" s="147"/>
      <c r="AI690" s="147"/>
      <c r="AJ690" s="147"/>
      <c r="AK690" s="147"/>
      <c r="AL690" s="147"/>
      <c r="AM690" s="147"/>
      <c r="AN690" s="147"/>
      <c r="AO690" s="147"/>
      <c r="AP690" s="147"/>
      <c r="AQ690" s="147"/>
      <c r="AR690" s="147"/>
      <c r="AS690" s="147"/>
      <c r="AT690" s="147"/>
      <c r="AU690" s="147"/>
      <c r="AV690" s="147"/>
      <c r="AW690" s="147"/>
      <c r="AX690" s="147"/>
      <c r="AY690" s="147"/>
      <c r="AZ690" s="147"/>
      <c r="BA690" s="147"/>
      <c r="BB690" s="147"/>
      <c r="BC690" s="147"/>
      <c r="BD690" s="147"/>
      <c r="BE690" s="147"/>
      <c r="BF690" s="147"/>
      <c r="BG690" s="147"/>
      <c r="BH690" s="147"/>
      <c r="BI690" s="147"/>
      <c r="BJ690" s="147"/>
      <c r="BK690" s="147"/>
      <c r="BL690" s="147"/>
      <c r="BM690" s="147"/>
      <c r="BN690" s="147"/>
      <c r="BO690" s="147"/>
      <c r="BP690" s="147"/>
      <c r="BQ690" s="147"/>
      <c r="BR690" s="147"/>
      <c r="BS690" s="147"/>
      <c r="BT690" s="147"/>
      <c r="BU690" s="147"/>
      <c r="BV690" s="147"/>
      <c r="BW690" s="147"/>
      <c r="BX690" s="147"/>
      <c r="BY690" s="147"/>
      <c r="BZ690" s="147"/>
      <c r="CA690" s="147"/>
      <c r="CB690" s="147"/>
      <c r="CC690" s="147"/>
      <c r="CD690" s="147"/>
      <c r="CE690" s="147"/>
      <c r="CF690" s="147"/>
      <c r="CG690" s="147"/>
      <c r="CH690" s="147"/>
      <c r="CI690" s="147"/>
      <c r="CJ690" s="147"/>
      <c r="CK690" s="147"/>
    </row>
    <row r="691" spans="1:89">
      <c r="A691" s="147"/>
      <c r="B691" s="147"/>
      <c r="C691" s="147"/>
      <c r="D691" s="147"/>
      <c r="E691" s="147"/>
      <c r="F691" s="147"/>
      <c r="G691" s="147"/>
      <c r="H691" s="147"/>
      <c r="I691" s="147"/>
      <c r="J691" s="147"/>
      <c r="K691" s="147"/>
      <c r="L691" s="147"/>
      <c r="M691" s="147"/>
      <c r="N691" s="147"/>
      <c r="O691" s="158"/>
      <c r="P691" s="147"/>
      <c r="Q691" s="147"/>
      <c r="R691" s="147"/>
      <c r="S691" s="147"/>
      <c r="T691" s="147"/>
      <c r="U691" s="147"/>
      <c r="V691" s="147"/>
      <c r="W691" s="147"/>
      <c r="X691" s="147"/>
      <c r="Y691" s="147"/>
      <c r="Z691" s="147"/>
      <c r="AA691" s="147"/>
      <c r="AB691" s="147"/>
      <c r="AC691" s="147"/>
      <c r="AD691" s="147"/>
      <c r="AE691" s="147"/>
      <c r="AF691" s="147"/>
      <c r="AG691" s="147"/>
      <c r="AH691" s="147"/>
      <c r="AI691" s="147"/>
      <c r="AJ691" s="147"/>
      <c r="AK691" s="147"/>
      <c r="AL691" s="147"/>
      <c r="AM691" s="147"/>
      <c r="AN691" s="147"/>
      <c r="AO691" s="147"/>
      <c r="AP691" s="147"/>
      <c r="AQ691" s="147"/>
      <c r="AR691" s="147"/>
      <c r="AS691" s="147"/>
      <c r="AT691" s="147"/>
      <c r="AU691" s="147"/>
      <c r="AV691" s="147"/>
      <c r="AW691" s="147"/>
      <c r="AX691" s="147"/>
      <c r="AY691" s="147"/>
      <c r="AZ691" s="147"/>
      <c r="BA691" s="147"/>
      <c r="BB691" s="147"/>
      <c r="BC691" s="147"/>
      <c r="BD691" s="147"/>
      <c r="BE691" s="147"/>
      <c r="BF691" s="147"/>
      <c r="BG691" s="147"/>
      <c r="BH691" s="147"/>
      <c r="BI691" s="147"/>
      <c r="BJ691" s="147"/>
      <c r="BK691" s="147"/>
      <c r="BL691" s="147"/>
      <c r="BM691" s="147"/>
      <c r="BN691" s="147"/>
      <c r="BO691" s="147"/>
      <c r="BP691" s="147"/>
      <c r="BQ691" s="147"/>
      <c r="BR691" s="147"/>
      <c r="BS691" s="147"/>
      <c r="BT691" s="147"/>
      <c r="BU691" s="147"/>
      <c r="BV691" s="147"/>
      <c r="BW691" s="147"/>
      <c r="BX691" s="147"/>
      <c r="BY691" s="147"/>
      <c r="BZ691" s="147"/>
      <c r="CA691" s="147"/>
      <c r="CB691" s="147"/>
      <c r="CC691" s="147"/>
      <c r="CD691" s="147"/>
      <c r="CE691" s="147"/>
      <c r="CF691" s="147"/>
      <c r="CG691" s="147"/>
      <c r="CH691" s="147"/>
      <c r="CI691" s="147"/>
      <c r="CJ691" s="147"/>
      <c r="CK691" s="147"/>
    </row>
    <row r="692" spans="1:89">
      <c r="A692" s="147"/>
      <c r="B692" s="147"/>
      <c r="C692" s="147"/>
      <c r="D692" s="147"/>
      <c r="E692" s="147"/>
      <c r="F692" s="147"/>
      <c r="G692" s="147"/>
      <c r="H692" s="147"/>
      <c r="I692" s="147"/>
      <c r="J692" s="147"/>
      <c r="K692" s="147"/>
      <c r="L692" s="147"/>
      <c r="M692" s="147"/>
      <c r="N692" s="147"/>
      <c r="O692" s="158"/>
      <c r="P692" s="147"/>
      <c r="Q692" s="147"/>
      <c r="R692" s="147"/>
      <c r="S692" s="147"/>
      <c r="T692" s="147"/>
      <c r="U692" s="147"/>
      <c r="V692" s="147"/>
      <c r="W692" s="147"/>
      <c r="X692" s="147"/>
      <c r="Y692" s="147"/>
      <c r="Z692" s="147"/>
      <c r="AA692" s="147"/>
      <c r="AB692" s="147"/>
      <c r="AC692" s="147"/>
      <c r="AD692" s="147"/>
      <c r="AE692" s="147"/>
      <c r="AF692" s="147"/>
      <c r="AG692" s="147"/>
      <c r="AH692" s="147"/>
      <c r="AI692" s="147"/>
      <c r="AJ692" s="147"/>
      <c r="AK692" s="147"/>
      <c r="AL692" s="147"/>
      <c r="AM692" s="147"/>
      <c r="AN692" s="147"/>
      <c r="AO692" s="147"/>
      <c r="AP692" s="147"/>
      <c r="AQ692" s="147"/>
      <c r="AR692" s="147"/>
      <c r="AS692" s="147"/>
      <c r="AT692" s="147"/>
      <c r="AU692" s="147"/>
      <c r="AV692" s="147"/>
      <c r="AW692" s="147"/>
      <c r="AX692" s="147"/>
      <c r="AY692" s="147"/>
      <c r="AZ692" s="147"/>
      <c r="BA692" s="147"/>
      <c r="BB692" s="147"/>
      <c r="BC692" s="147"/>
      <c r="BD692" s="147"/>
      <c r="BE692" s="147"/>
      <c r="BF692" s="147"/>
      <c r="BG692" s="147"/>
      <c r="BH692" s="147"/>
      <c r="BI692" s="147"/>
      <c r="BJ692" s="147"/>
      <c r="BK692" s="147"/>
      <c r="BL692" s="147"/>
      <c r="BM692" s="147"/>
      <c r="BN692" s="147"/>
      <c r="BO692" s="147"/>
      <c r="BP692" s="147"/>
      <c r="BQ692" s="147"/>
      <c r="BR692" s="147"/>
      <c r="BS692" s="147"/>
      <c r="BT692" s="147"/>
      <c r="BU692" s="147"/>
      <c r="BV692" s="147"/>
      <c r="BW692" s="147"/>
      <c r="BX692" s="147"/>
      <c r="BY692" s="147"/>
      <c r="BZ692" s="147"/>
      <c r="CA692" s="147"/>
      <c r="CB692" s="147"/>
      <c r="CC692" s="147"/>
      <c r="CD692" s="147"/>
      <c r="CE692" s="147"/>
      <c r="CF692" s="147"/>
      <c r="CG692" s="147"/>
      <c r="CH692" s="147"/>
      <c r="CI692" s="147"/>
      <c r="CJ692" s="147"/>
      <c r="CK692" s="147"/>
    </row>
    <row r="693" spans="1:89">
      <c r="A693" s="147"/>
      <c r="B693" s="147"/>
      <c r="C693" s="147"/>
      <c r="D693" s="147"/>
      <c r="E693" s="147"/>
      <c r="F693" s="147"/>
      <c r="G693" s="147"/>
      <c r="H693" s="147"/>
      <c r="I693" s="147"/>
      <c r="J693" s="147"/>
      <c r="K693" s="147"/>
      <c r="L693" s="147"/>
      <c r="M693" s="147"/>
      <c r="N693" s="147"/>
      <c r="O693" s="158"/>
      <c r="P693" s="147"/>
      <c r="Q693" s="147"/>
      <c r="R693" s="147"/>
      <c r="S693" s="147"/>
      <c r="T693" s="147"/>
      <c r="U693" s="147"/>
      <c r="V693" s="147"/>
      <c r="W693" s="147"/>
      <c r="X693" s="147"/>
      <c r="Y693" s="147"/>
      <c r="Z693" s="147"/>
      <c r="AA693" s="147"/>
      <c r="AB693" s="147"/>
      <c r="AC693" s="147"/>
      <c r="AD693" s="147"/>
      <c r="AE693" s="147"/>
      <c r="AF693" s="147"/>
      <c r="AG693" s="147"/>
      <c r="AH693" s="147"/>
      <c r="AI693" s="147"/>
      <c r="AJ693" s="147"/>
      <c r="AK693" s="147"/>
      <c r="AL693" s="147"/>
      <c r="AM693" s="147"/>
      <c r="AN693" s="147"/>
      <c r="AO693" s="147"/>
      <c r="AP693" s="147"/>
      <c r="AQ693" s="147"/>
      <c r="AR693" s="147"/>
      <c r="AS693" s="147"/>
      <c r="AT693" s="147"/>
      <c r="AU693" s="147"/>
      <c r="AV693" s="147"/>
      <c r="AW693" s="147"/>
      <c r="AX693" s="147"/>
      <c r="AY693" s="147"/>
      <c r="AZ693" s="147"/>
      <c r="BA693" s="147"/>
      <c r="BB693" s="147"/>
      <c r="BC693" s="147"/>
      <c r="BD693" s="147"/>
      <c r="BE693" s="147"/>
      <c r="BF693" s="147"/>
      <c r="BG693" s="147"/>
      <c r="BH693" s="147"/>
      <c r="BI693" s="147"/>
      <c r="BJ693" s="147"/>
      <c r="BK693" s="147"/>
      <c r="BL693" s="147"/>
      <c r="BM693" s="147"/>
      <c r="BN693" s="147"/>
      <c r="BO693" s="147"/>
      <c r="BP693" s="147"/>
      <c r="BQ693" s="147"/>
      <c r="BR693" s="147"/>
      <c r="BS693" s="147"/>
      <c r="BT693" s="147"/>
      <c r="BU693" s="147"/>
      <c r="BV693" s="147"/>
      <c r="BW693" s="147"/>
      <c r="BX693" s="147"/>
      <c r="BY693" s="147"/>
      <c r="BZ693" s="147"/>
      <c r="CA693" s="147"/>
      <c r="CB693" s="147"/>
      <c r="CC693" s="147"/>
      <c r="CD693" s="147"/>
      <c r="CE693" s="147"/>
      <c r="CF693" s="147"/>
      <c r="CG693" s="147"/>
      <c r="CH693" s="147"/>
      <c r="CI693" s="147"/>
      <c r="CJ693" s="147"/>
      <c r="CK693" s="147"/>
    </row>
    <row r="694" spans="1:89">
      <c r="A694" s="147"/>
      <c r="B694" s="147"/>
      <c r="C694" s="147"/>
      <c r="D694" s="147"/>
      <c r="E694" s="147"/>
      <c r="F694" s="147"/>
      <c r="G694" s="147"/>
      <c r="H694" s="147"/>
      <c r="I694" s="147"/>
      <c r="J694" s="147"/>
      <c r="K694" s="147"/>
      <c r="L694" s="147"/>
      <c r="M694" s="147"/>
      <c r="N694" s="147"/>
      <c r="O694" s="158"/>
      <c r="P694" s="147"/>
      <c r="Q694" s="147"/>
      <c r="R694" s="147"/>
      <c r="S694" s="147"/>
      <c r="T694" s="147"/>
      <c r="U694" s="147"/>
      <c r="V694" s="147"/>
      <c r="W694" s="147"/>
      <c r="X694" s="147"/>
      <c r="Y694" s="147"/>
      <c r="Z694" s="147"/>
      <c r="AA694" s="147"/>
      <c r="AB694" s="147"/>
      <c r="AC694" s="147"/>
      <c r="AD694" s="147"/>
      <c r="AE694" s="147"/>
      <c r="AF694" s="147"/>
      <c r="AG694" s="147"/>
      <c r="AH694" s="147"/>
      <c r="AI694" s="147"/>
      <c r="AJ694" s="147"/>
      <c r="AK694" s="147"/>
      <c r="AL694" s="147"/>
      <c r="AM694" s="147"/>
      <c r="AN694" s="147"/>
      <c r="AO694" s="147"/>
      <c r="AP694" s="147"/>
      <c r="AQ694" s="147"/>
      <c r="AR694" s="147"/>
      <c r="AS694" s="147"/>
      <c r="AT694" s="147"/>
      <c r="AU694" s="147"/>
      <c r="AV694" s="147"/>
      <c r="AW694" s="147"/>
      <c r="AX694" s="147"/>
      <c r="AY694" s="147"/>
      <c r="AZ694" s="147"/>
      <c r="BA694" s="147"/>
      <c r="BB694" s="147"/>
      <c r="BC694" s="147"/>
      <c r="BD694" s="147"/>
      <c r="BE694" s="147"/>
      <c r="BF694" s="147"/>
      <c r="BG694" s="147"/>
      <c r="BH694" s="147"/>
      <c r="BI694" s="147"/>
      <c r="BJ694" s="147"/>
      <c r="BK694" s="147"/>
      <c r="BL694" s="147"/>
      <c r="BM694" s="147"/>
      <c r="BN694" s="147"/>
      <c r="BO694" s="147"/>
      <c r="BP694" s="147"/>
      <c r="BQ694" s="147"/>
      <c r="BR694" s="147"/>
      <c r="BS694" s="147"/>
      <c r="BT694" s="147"/>
      <c r="BU694" s="147"/>
      <c r="BV694" s="147"/>
      <c r="BW694" s="147"/>
      <c r="BX694" s="147"/>
      <c r="BY694" s="147"/>
      <c r="BZ694" s="147"/>
      <c r="CA694" s="147"/>
      <c r="CB694" s="147"/>
      <c r="CC694" s="147"/>
      <c r="CD694" s="147"/>
      <c r="CE694" s="147"/>
      <c r="CF694" s="147"/>
      <c r="CG694" s="147"/>
      <c r="CH694" s="147"/>
      <c r="CI694" s="147"/>
      <c r="CJ694" s="147"/>
      <c r="CK694" s="147"/>
    </row>
    <row r="695" spans="1:89">
      <c r="A695" s="147"/>
      <c r="B695" s="147"/>
      <c r="C695" s="147"/>
      <c r="D695" s="147"/>
      <c r="E695" s="147"/>
      <c r="F695" s="147"/>
      <c r="G695" s="147"/>
      <c r="H695" s="147"/>
      <c r="I695" s="147"/>
      <c r="J695" s="147"/>
      <c r="K695" s="147"/>
      <c r="L695" s="147"/>
      <c r="M695" s="147"/>
      <c r="N695" s="147"/>
      <c r="O695" s="158"/>
      <c r="P695" s="147"/>
      <c r="Q695" s="147"/>
      <c r="R695" s="147"/>
      <c r="S695" s="147"/>
      <c r="T695" s="147"/>
      <c r="U695" s="147"/>
      <c r="V695" s="147"/>
      <c r="W695" s="147"/>
      <c r="X695" s="147"/>
      <c r="Y695" s="147"/>
      <c r="Z695" s="147"/>
      <c r="AA695" s="147"/>
      <c r="AB695" s="147"/>
      <c r="AC695" s="147"/>
      <c r="AD695" s="147"/>
      <c r="AE695" s="147"/>
      <c r="AF695" s="147"/>
      <c r="AG695" s="147"/>
      <c r="AH695" s="147"/>
      <c r="AI695" s="147"/>
      <c r="AJ695" s="147"/>
      <c r="AK695" s="147"/>
      <c r="AL695" s="147"/>
      <c r="AM695" s="147"/>
      <c r="AN695" s="147"/>
      <c r="AO695" s="147"/>
      <c r="AP695" s="147"/>
      <c r="AQ695" s="147"/>
      <c r="AR695" s="147"/>
      <c r="AS695" s="147"/>
      <c r="AT695" s="147"/>
      <c r="AU695" s="147"/>
      <c r="AV695" s="147"/>
      <c r="AW695" s="147"/>
      <c r="AX695" s="147"/>
      <c r="AY695" s="147"/>
      <c r="AZ695" s="147"/>
      <c r="BA695" s="147"/>
      <c r="BB695" s="147"/>
      <c r="BC695" s="147"/>
      <c r="BD695" s="147"/>
      <c r="BE695" s="147"/>
      <c r="BF695" s="147"/>
      <c r="BG695" s="147"/>
      <c r="BH695" s="147"/>
      <c r="BI695" s="147"/>
      <c r="BJ695" s="147"/>
      <c r="BK695" s="147"/>
      <c r="BL695" s="147"/>
      <c r="BM695" s="147"/>
      <c r="BN695" s="147"/>
      <c r="BO695" s="147"/>
      <c r="BP695" s="147"/>
      <c r="BQ695" s="147"/>
      <c r="BR695" s="147"/>
      <c r="BS695" s="147"/>
      <c r="BT695" s="147"/>
      <c r="BU695" s="147"/>
      <c r="BV695" s="147"/>
      <c r="BW695" s="147"/>
      <c r="BX695" s="147"/>
      <c r="BY695" s="147"/>
      <c r="BZ695" s="147"/>
      <c r="CA695" s="147"/>
      <c r="CB695" s="147"/>
      <c r="CC695" s="147"/>
      <c r="CD695" s="147"/>
      <c r="CE695" s="147"/>
      <c r="CF695" s="147"/>
      <c r="CG695" s="147"/>
      <c r="CH695" s="147"/>
      <c r="CI695" s="147"/>
      <c r="CJ695" s="147"/>
      <c r="CK695" s="147"/>
    </row>
    <row r="696" spans="1:89">
      <c r="A696" s="147"/>
      <c r="B696" s="147"/>
      <c r="C696" s="147"/>
      <c r="D696" s="147"/>
      <c r="E696" s="147"/>
      <c r="F696" s="147"/>
      <c r="G696" s="147"/>
      <c r="H696" s="147"/>
      <c r="I696" s="147"/>
      <c r="J696" s="147"/>
      <c r="K696" s="147"/>
      <c r="L696" s="147"/>
      <c r="M696" s="147"/>
      <c r="N696" s="147"/>
      <c r="O696" s="158"/>
      <c r="P696" s="147"/>
      <c r="Q696" s="147"/>
      <c r="R696" s="147"/>
      <c r="S696" s="147"/>
      <c r="T696" s="147"/>
      <c r="U696" s="147"/>
      <c r="V696" s="147"/>
      <c r="W696" s="147"/>
      <c r="X696" s="147"/>
      <c r="Y696" s="147"/>
      <c r="Z696" s="147"/>
      <c r="AA696" s="147"/>
      <c r="AB696" s="147"/>
      <c r="AC696" s="147"/>
      <c r="AD696" s="147"/>
      <c r="AE696" s="147"/>
      <c r="AF696" s="147"/>
      <c r="AG696" s="147"/>
      <c r="AH696" s="147"/>
      <c r="AI696" s="147"/>
      <c r="AJ696" s="147"/>
      <c r="AK696" s="147"/>
      <c r="AL696" s="147"/>
      <c r="AM696" s="147"/>
      <c r="AN696" s="147"/>
      <c r="AO696" s="147"/>
      <c r="AP696" s="147"/>
      <c r="AQ696" s="147"/>
      <c r="AR696" s="147"/>
      <c r="AS696" s="147"/>
      <c r="AT696" s="147"/>
      <c r="AU696" s="147"/>
      <c r="AV696" s="147"/>
      <c r="AW696" s="147"/>
      <c r="AX696" s="147"/>
      <c r="AY696" s="147"/>
      <c r="AZ696" s="147"/>
      <c r="BA696" s="147"/>
      <c r="BB696" s="147"/>
      <c r="BC696" s="147"/>
      <c r="BD696" s="147"/>
      <c r="BE696" s="147"/>
      <c r="BF696" s="147"/>
      <c r="BG696" s="147"/>
      <c r="BH696" s="147"/>
      <c r="BI696" s="147"/>
      <c r="BJ696" s="147"/>
      <c r="BK696" s="147"/>
      <c r="BL696" s="147"/>
      <c r="BM696" s="147"/>
      <c r="BN696" s="147"/>
      <c r="BO696" s="147"/>
      <c r="BP696" s="147"/>
      <c r="BQ696" s="147"/>
      <c r="BR696" s="147"/>
      <c r="BS696" s="147"/>
      <c r="BT696" s="147"/>
      <c r="BU696" s="147"/>
      <c r="BV696" s="147"/>
      <c r="BW696" s="147"/>
      <c r="BX696" s="147"/>
      <c r="BY696" s="147"/>
      <c r="BZ696" s="147"/>
      <c r="CA696" s="147"/>
      <c r="CB696" s="147"/>
      <c r="CC696" s="147"/>
      <c r="CD696" s="147"/>
      <c r="CE696" s="147"/>
      <c r="CF696" s="147"/>
      <c r="CG696" s="147"/>
      <c r="CH696" s="147"/>
      <c r="CI696" s="147"/>
      <c r="CJ696" s="147"/>
      <c r="CK696" s="147"/>
    </row>
    <row r="697" spans="1:89">
      <c r="A697" s="147"/>
      <c r="B697" s="147"/>
      <c r="C697" s="147"/>
      <c r="D697" s="147"/>
      <c r="E697" s="147"/>
      <c r="F697" s="147"/>
      <c r="G697" s="147"/>
      <c r="H697" s="147"/>
      <c r="I697" s="147"/>
      <c r="J697" s="147"/>
      <c r="K697" s="147"/>
      <c r="L697" s="147"/>
      <c r="M697" s="147"/>
      <c r="N697" s="147"/>
      <c r="O697" s="158"/>
      <c r="P697" s="147"/>
      <c r="Q697" s="147"/>
      <c r="R697" s="147"/>
      <c r="S697" s="147"/>
      <c r="T697" s="147"/>
      <c r="U697" s="147"/>
      <c r="V697" s="147"/>
      <c r="W697" s="147"/>
      <c r="X697" s="147"/>
      <c r="Y697" s="147"/>
      <c r="Z697" s="147"/>
      <c r="AA697" s="147"/>
      <c r="AB697" s="147"/>
      <c r="AC697" s="147"/>
      <c r="AD697" s="147"/>
      <c r="AE697" s="147"/>
      <c r="AF697" s="147"/>
      <c r="AG697" s="147"/>
      <c r="AH697" s="147"/>
      <c r="AI697" s="147"/>
      <c r="AJ697" s="147"/>
      <c r="AK697" s="147"/>
      <c r="AL697" s="147"/>
      <c r="AM697" s="147"/>
      <c r="AN697" s="147"/>
      <c r="AO697" s="147"/>
      <c r="AP697" s="147"/>
      <c r="AQ697" s="147"/>
      <c r="AR697" s="147"/>
      <c r="AS697" s="147"/>
      <c r="AT697" s="147"/>
      <c r="AU697" s="147"/>
      <c r="AV697" s="147"/>
      <c r="AW697" s="147"/>
      <c r="AX697" s="147"/>
      <c r="AY697" s="147"/>
      <c r="AZ697" s="147"/>
      <c r="BA697" s="147"/>
      <c r="BB697" s="147"/>
      <c r="BC697" s="147"/>
      <c r="BD697" s="147"/>
      <c r="BE697" s="147"/>
      <c r="BF697" s="147"/>
      <c r="BG697" s="147"/>
      <c r="BH697" s="147"/>
      <c r="BI697" s="147"/>
      <c r="BJ697" s="147"/>
      <c r="BK697" s="147"/>
      <c r="BL697" s="147"/>
      <c r="BM697" s="147"/>
      <c r="BN697" s="147"/>
      <c r="BO697" s="147"/>
      <c r="BP697" s="147"/>
      <c r="BQ697" s="147"/>
      <c r="BR697" s="147"/>
      <c r="BS697" s="147"/>
      <c r="BT697" s="147"/>
      <c r="BU697" s="147"/>
      <c r="BV697" s="147"/>
      <c r="BW697" s="147"/>
      <c r="BX697" s="147"/>
      <c r="BY697" s="147"/>
      <c r="BZ697" s="147"/>
      <c r="CA697" s="147"/>
      <c r="CB697" s="147"/>
      <c r="CC697" s="147"/>
      <c r="CD697" s="147"/>
      <c r="CE697" s="147"/>
      <c r="CF697" s="147"/>
      <c r="CG697" s="147"/>
      <c r="CH697" s="147"/>
      <c r="CI697" s="147"/>
      <c r="CJ697" s="147"/>
      <c r="CK697" s="147"/>
    </row>
    <row r="698" spans="1:89">
      <c r="A698" s="147"/>
      <c r="B698" s="147"/>
      <c r="C698" s="147"/>
      <c r="D698" s="147"/>
      <c r="E698" s="147"/>
      <c r="F698" s="147"/>
      <c r="G698" s="147"/>
      <c r="H698" s="147"/>
      <c r="I698" s="147"/>
      <c r="J698" s="147"/>
      <c r="K698" s="147"/>
      <c r="L698" s="147"/>
      <c r="M698" s="147"/>
      <c r="N698" s="147"/>
      <c r="O698" s="158"/>
      <c r="P698" s="147"/>
      <c r="Q698" s="147"/>
      <c r="R698" s="147"/>
      <c r="S698" s="147"/>
      <c r="T698" s="147"/>
      <c r="U698" s="147"/>
      <c r="V698" s="147"/>
      <c r="W698" s="147"/>
      <c r="X698" s="147"/>
      <c r="Y698" s="147"/>
      <c r="Z698" s="147"/>
      <c r="AA698" s="147"/>
      <c r="AB698" s="147"/>
      <c r="AC698" s="147"/>
      <c r="AD698" s="147"/>
      <c r="AE698" s="147"/>
      <c r="AF698" s="147"/>
      <c r="AG698" s="147"/>
      <c r="AH698" s="147"/>
      <c r="AI698" s="147"/>
      <c r="AJ698" s="147"/>
      <c r="AK698" s="147"/>
      <c r="AL698" s="147"/>
      <c r="AM698" s="147"/>
      <c r="AN698" s="147"/>
      <c r="AO698" s="147"/>
      <c r="AP698" s="147"/>
      <c r="AQ698" s="147"/>
      <c r="AR698" s="147"/>
      <c r="AS698" s="147"/>
      <c r="AT698" s="147"/>
      <c r="AU698" s="147"/>
      <c r="AV698" s="147"/>
      <c r="AW698" s="147"/>
      <c r="AX698" s="147"/>
      <c r="AY698" s="147"/>
      <c r="AZ698" s="147"/>
      <c r="BA698" s="147"/>
      <c r="BB698" s="147"/>
      <c r="BC698" s="147"/>
      <c r="BD698" s="147"/>
      <c r="BE698" s="147"/>
      <c r="BF698" s="147"/>
      <c r="BG698" s="147"/>
      <c r="BH698" s="147"/>
      <c r="BI698" s="147"/>
      <c r="BJ698" s="147"/>
      <c r="BK698" s="147"/>
      <c r="BL698" s="147"/>
      <c r="BM698" s="147"/>
      <c r="BN698" s="147"/>
      <c r="BO698" s="147"/>
      <c r="BP698" s="147"/>
      <c r="BQ698" s="147"/>
      <c r="BR698" s="147"/>
      <c r="BS698" s="147"/>
      <c r="BT698" s="147"/>
      <c r="BU698" s="147"/>
      <c r="BV698" s="147"/>
      <c r="BW698" s="147"/>
      <c r="BX698" s="147"/>
      <c r="BY698" s="147"/>
      <c r="BZ698" s="147"/>
      <c r="CA698" s="147"/>
      <c r="CB698" s="147"/>
      <c r="CC698" s="147"/>
      <c r="CD698" s="147"/>
      <c r="CE698" s="147"/>
      <c r="CF698" s="147"/>
      <c r="CG698" s="147"/>
      <c r="CH698" s="147"/>
      <c r="CI698" s="147"/>
      <c r="CJ698" s="147"/>
      <c r="CK698" s="147"/>
    </row>
    <row r="699" spans="1:89">
      <c r="A699" s="147"/>
      <c r="B699" s="147"/>
      <c r="C699" s="147"/>
      <c r="D699" s="147"/>
      <c r="E699" s="147"/>
      <c r="F699" s="147"/>
      <c r="G699" s="147"/>
      <c r="H699" s="147"/>
      <c r="I699" s="147"/>
      <c r="J699" s="147"/>
      <c r="K699" s="147"/>
      <c r="L699" s="147"/>
      <c r="M699" s="147"/>
      <c r="N699" s="147"/>
      <c r="O699" s="158"/>
      <c r="P699" s="147"/>
      <c r="Q699" s="147"/>
      <c r="R699" s="147"/>
      <c r="S699" s="147"/>
      <c r="T699" s="147"/>
      <c r="U699" s="147"/>
      <c r="V699" s="147"/>
      <c r="W699" s="147"/>
      <c r="X699" s="147"/>
      <c r="Y699" s="147"/>
      <c r="Z699" s="147"/>
      <c r="AA699" s="147"/>
      <c r="AB699" s="147"/>
      <c r="AC699" s="147"/>
      <c r="AD699" s="147"/>
      <c r="AE699" s="147"/>
      <c r="AF699" s="147"/>
      <c r="AG699" s="147"/>
      <c r="AH699" s="147"/>
      <c r="AI699" s="147"/>
      <c r="AJ699" s="147"/>
      <c r="AK699" s="147"/>
      <c r="AL699" s="147"/>
      <c r="AM699" s="147"/>
      <c r="AN699" s="147"/>
      <c r="AO699" s="147"/>
      <c r="AP699" s="147"/>
      <c r="AQ699" s="147"/>
      <c r="AR699" s="147"/>
      <c r="AS699" s="147"/>
      <c r="AT699" s="147"/>
      <c r="AU699" s="147"/>
      <c r="AV699" s="147"/>
      <c r="AW699" s="147"/>
      <c r="AX699" s="147"/>
      <c r="AY699" s="147"/>
      <c r="AZ699" s="147"/>
      <c r="BA699" s="147"/>
      <c r="BB699" s="147"/>
      <c r="BC699" s="147"/>
      <c r="BD699" s="147"/>
      <c r="BE699" s="147"/>
      <c r="BF699" s="147"/>
      <c r="BG699" s="147"/>
      <c r="BH699" s="147"/>
      <c r="BI699" s="147"/>
      <c r="BJ699" s="147"/>
      <c r="BK699" s="147"/>
      <c r="BL699" s="147"/>
      <c r="BM699" s="147"/>
      <c r="BN699" s="147"/>
      <c r="BO699" s="147"/>
      <c r="BP699" s="147"/>
      <c r="BQ699" s="147"/>
      <c r="BR699" s="147"/>
      <c r="BS699" s="147"/>
      <c r="BT699" s="147"/>
      <c r="BU699" s="147"/>
      <c r="BV699" s="147"/>
      <c r="BW699" s="147"/>
      <c r="BX699" s="147"/>
      <c r="BY699" s="147"/>
      <c r="BZ699" s="147"/>
      <c r="CA699" s="147"/>
      <c r="CB699" s="147"/>
      <c r="CC699" s="147"/>
      <c r="CD699" s="147"/>
      <c r="CE699" s="147"/>
      <c r="CF699" s="147"/>
      <c r="CG699" s="147"/>
      <c r="CH699" s="147"/>
      <c r="CI699" s="147"/>
      <c r="CJ699" s="147"/>
      <c r="CK699" s="147"/>
    </row>
    <row r="700" spans="1:89">
      <c r="A700" s="147"/>
      <c r="B700" s="147"/>
      <c r="C700" s="147"/>
      <c r="D700" s="147"/>
      <c r="E700" s="147"/>
      <c r="F700" s="147"/>
      <c r="G700" s="147"/>
      <c r="H700" s="147"/>
      <c r="I700" s="147"/>
      <c r="J700" s="147"/>
      <c r="K700" s="147"/>
      <c r="L700" s="147"/>
      <c r="M700" s="147"/>
      <c r="N700" s="147"/>
      <c r="O700" s="158"/>
      <c r="P700" s="147"/>
      <c r="Q700" s="147"/>
      <c r="R700" s="147"/>
      <c r="S700" s="147"/>
      <c r="T700" s="147"/>
      <c r="U700" s="147"/>
      <c r="V700" s="147"/>
      <c r="W700" s="147"/>
      <c r="X700" s="147"/>
      <c r="Y700" s="147"/>
      <c r="Z700" s="147"/>
      <c r="AA700" s="147"/>
      <c r="AB700" s="147"/>
      <c r="AC700" s="147"/>
      <c r="AD700" s="147"/>
      <c r="AE700" s="147"/>
      <c r="AF700" s="147"/>
      <c r="AG700" s="147"/>
      <c r="AH700" s="147"/>
      <c r="AI700" s="147"/>
      <c r="AJ700" s="147"/>
      <c r="AK700" s="147"/>
      <c r="AL700" s="147"/>
      <c r="AM700" s="147"/>
      <c r="AN700" s="147"/>
      <c r="AO700" s="147"/>
      <c r="AP700" s="147"/>
      <c r="AQ700" s="147"/>
      <c r="AR700" s="147"/>
      <c r="AS700" s="147"/>
      <c r="AT700" s="147"/>
      <c r="AU700" s="147"/>
      <c r="AV700" s="147"/>
      <c r="AW700" s="147"/>
      <c r="AX700" s="147"/>
      <c r="AY700" s="147"/>
      <c r="AZ700" s="147"/>
      <c r="BA700" s="147"/>
      <c r="BB700" s="147"/>
      <c r="BC700" s="147"/>
      <c r="BD700" s="147"/>
      <c r="BE700" s="147"/>
      <c r="BF700" s="147"/>
      <c r="BG700" s="147"/>
      <c r="BH700" s="147"/>
      <c r="BI700" s="147"/>
      <c r="BJ700" s="147"/>
      <c r="BK700" s="147"/>
      <c r="BL700" s="147"/>
      <c r="BM700" s="147"/>
      <c r="BN700" s="147"/>
      <c r="BO700" s="147"/>
      <c r="BP700" s="147"/>
      <c r="BQ700" s="147"/>
      <c r="BR700" s="147"/>
      <c r="BS700" s="147"/>
      <c r="BT700" s="147"/>
      <c r="BU700" s="147"/>
      <c r="BV700" s="147"/>
      <c r="BW700" s="147"/>
      <c r="BX700" s="147"/>
      <c r="BY700" s="147"/>
      <c r="BZ700" s="147"/>
      <c r="CA700" s="147"/>
      <c r="CB700" s="147"/>
      <c r="CC700" s="147"/>
      <c r="CD700" s="147"/>
      <c r="CE700" s="147"/>
      <c r="CF700" s="147"/>
      <c r="CG700" s="147"/>
      <c r="CH700" s="147"/>
      <c r="CI700" s="147"/>
      <c r="CJ700" s="147"/>
      <c r="CK700" s="147"/>
    </row>
    <row r="701" spans="1:89">
      <c r="A701" s="147"/>
      <c r="B701" s="147"/>
      <c r="C701" s="147"/>
      <c r="D701" s="147"/>
      <c r="E701" s="147"/>
      <c r="F701" s="147"/>
      <c r="G701" s="147"/>
      <c r="H701" s="147"/>
      <c r="I701" s="147"/>
      <c r="J701" s="147"/>
      <c r="K701" s="147"/>
      <c r="L701" s="147"/>
      <c r="M701" s="147"/>
      <c r="N701" s="147"/>
      <c r="O701" s="158"/>
      <c r="P701" s="147"/>
      <c r="Q701" s="147"/>
      <c r="R701" s="147"/>
      <c r="S701" s="147"/>
      <c r="T701" s="147"/>
      <c r="U701" s="147"/>
      <c r="V701" s="147"/>
      <c r="W701" s="147"/>
      <c r="X701" s="147"/>
      <c r="Y701" s="147"/>
      <c r="Z701" s="147"/>
      <c r="AA701" s="147"/>
      <c r="AB701" s="147"/>
      <c r="AC701" s="147"/>
      <c r="AD701" s="147"/>
      <c r="AE701" s="147"/>
      <c r="AF701" s="147"/>
      <c r="AG701" s="147"/>
      <c r="AH701" s="147"/>
      <c r="AI701" s="147"/>
      <c r="AJ701" s="147"/>
      <c r="AK701" s="147"/>
      <c r="AL701" s="147"/>
      <c r="AM701" s="147"/>
      <c r="AN701" s="147"/>
      <c r="AO701" s="147"/>
      <c r="AP701" s="147"/>
      <c r="AQ701" s="147"/>
      <c r="AR701" s="147"/>
      <c r="AS701" s="147"/>
      <c r="AT701" s="147"/>
      <c r="AU701" s="147"/>
      <c r="AV701" s="147"/>
      <c r="AW701" s="147"/>
      <c r="AX701" s="147"/>
      <c r="AY701" s="147"/>
      <c r="AZ701" s="147"/>
      <c r="BA701" s="147"/>
      <c r="BB701" s="147"/>
      <c r="BC701" s="147"/>
      <c r="BD701" s="147"/>
      <c r="BE701" s="147"/>
      <c r="BF701" s="147"/>
      <c r="BG701" s="147"/>
      <c r="BH701" s="147"/>
      <c r="BI701" s="147"/>
      <c r="BJ701" s="147"/>
      <c r="BK701" s="147"/>
      <c r="BL701" s="147"/>
      <c r="BM701" s="147"/>
      <c r="BN701" s="147"/>
      <c r="BO701" s="147"/>
      <c r="BP701" s="147"/>
      <c r="BQ701" s="147"/>
      <c r="BR701" s="147"/>
      <c r="BS701" s="147"/>
      <c r="BT701" s="147"/>
      <c r="BU701" s="147"/>
      <c r="BV701" s="147"/>
      <c r="BW701" s="147"/>
      <c r="BX701" s="147"/>
      <c r="BY701" s="147"/>
      <c r="BZ701" s="147"/>
      <c r="CA701" s="147"/>
      <c r="CB701" s="147"/>
      <c r="CC701" s="147"/>
      <c r="CD701" s="147"/>
      <c r="CE701" s="147"/>
      <c r="CF701" s="147"/>
      <c r="CG701" s="147"/>
      <c r="CH701" s="147"/>
      <c r="CI701" s="147"/>
      <c r="CJ701" s="147"/>
      <c r="CK701" s="147"/>
    </row>
    <row r="702" spans="1:89">
      <c r="A702" s="147"/>
      <c r="B702" s="147"/>
      <c r="C702" s="147"/>
      <c r="D702" s="147"/>
      <c r="E702" s="147"/>
      <c r="F702" s="147"/>
      <c r="G702" s="147"/>
      <c r="H702" s="147"/>
      <c r="I702" s="147"/>
      <c r="J702" s="147"/>
      <c r="K702" s="147"/>
      <c r="L702" s="147"/>
      <c r="M702" s="147"/>
      <c r="N702" s="147"/>
      <c r="O702" s="158"/>
      <c r="P702" s="147"/>
      <c r="Q702" s="147"/>
      <c r="R702" s="147"/>
      <c r="S702" s="147"/>
      <c r="T702" s="147"/>
      <c r="U702" s="147"/>
      <c r="V702" s="147"/>
      <c r="W702" s="147"/>
      <c r="X702" s="147"/>
      <c r="Y702" s="147"/>
      <c r="Z702" s="147"/>
      <c r="AA702" s="147"/>
      <c r="AB702" s="147"/>
      <c r="AC702" s="147"/>
      <c r="AD702" s="147"/>
      <c r="AE702" s="147"/>
      <c r="AF702" s="147"/>
      <c r="AG702" s="147"/>
      <c r="AH702" s="147"/>
      <c r="AI702" s="147"/>
      <c r="AJ702" s="147"/>
      <c r="AK702" s="147"/>
      <c r="AL702" s="147"/>
      <c r="AM702" s="147"/>
      <c r="AN702" s="147"/>
      <c r="AO702" s="147"/>
      <c r="AP702" s="147"/>
      <c r="AQ702" s="147"/>
      <c r="AR702" s="147"/>
      <c r="AS702" s="147"/>
      <c r="AT702" s="147"/>
      <c r="AU702" s="147"/>
      <c r="AV702" s="147"/>
      <c r="AW702" s="147"/>
      <c r="AX702" s="147"/>
      <c r="AY702" s="147"/>
      <c r="AZ702" s="147"/>
      <c r="BA702" s="147"/>
      <c r="BB702" s="147"/>
      <c r="BC702" s="147"/>
      <c r="BD702" s="147"/>
      <c r="BE702" s="147"/>
      <c r="BF702" s="147"/>
      <c r="BG702" s="147"/>
      <c r="BH702" s="147"/>
      <c r="BI702" s="147"/>
      <c r="BJ702" s="147"/>
      <c r="BK702" s="147"/>
      <c r="BL702" s="147"/>
      <c r="BM702" s="147"/>
      <c r="BN702" s="147"/>
      <c r="BO702" s="147"/>
      <c r="BP702" s="147"/>
      <c r="BQ702" s="147"/>
      <c r="BR702" s="147"/>
      <c r="BS702" s="147"/>
      <c r="BT702" s="147"/>
      <c r="BU702" s="147"/>
      <c r="BV702" s="147"/>
      <c r="BW702" s="147"/>
      <c r="BX702" s="147"/>
      <c r="BY702" s="147"/>
      <c r="BZ702" s="147"/>
      <c r="CA702" s="147"/>
      <c r="CB702" s="147"/>
      <c r="CC702" s="147"/>
      <c r="CD702" s="147"/>
      <c r="CE702" s="147"/>
      <c r="CF702" s="147"/>
      <c r="CG702" s="147"/>
      <c r="CH702" s="147"/>
      <c r="CI702" s="147"/>
      <c r="CJ702" s="147"/>
      <c r="CK702" s="147"/>
    </row>
    <row r="703" spans="1:89">
      <c r="A703" s="147"/>
      <c r="B703" s="147"/>
      <c r="C703" s="147"/>
      <c r="D703" s="147"/>
      <c r="E703" s="147"/>
      <c r="F703" s="147"/>
      <c r="G703" s="147"/>
      <c r="H703" s="147"/>
      <c r="I703" s="147"/>
      <c r="J703" s="147"/>
      <c r="K703" s="147"/>
      <c r="L703" s="147"/>
      <c r="M703" s="147"/>
      <c r="N703" s="147"/>
      <c r="O703" s="158"/>
      <c r="P703" s="147"/>
      <c r="Q703" s="147"/>
      <c r="R703" s="147"/>
      <c r="S703" s="147"/>
      <c r="T703" s="147"/>
      <c r="U703" s="147"/>
      <c r="V703" s="147"/>
      <c r="W703" s="147"/>
      <c r="X703" s="147"/>
      <c r="Y703" s="147"/>
      <c r="Z703" s="147"/>
      <c r="AA703" s="147"/>
      <c r="AB703" s="147"/>
      <c r="AC703" s="147"/>
      <c r="AD703" s="147"/>
      <c r="AE703" s="147"/>
      <c r="AF703" s="147"/>
      <c r="AG703" s="147"/>
      <c r="AH703" s="147"/>
      <c r="AI703" s="147"/>
      <c r="AJ703" s="147"/>
      <c r="AK703" s="147"/>
      <c r="AL703" s="147"/>
      <c r="AM703" s="147"/>
      <c r="AN703" s="147"/>
      <c r="AO703" s="147"/>
      <c r="AP703" s="147"/>
      <c r="AQ703" s="147"/>
      <c r="AR703" s="147"/>
      <c r="AS703" s="147"/>
      <c r="AT703" s="147"/>
      <c r="AU703" s="147"/>
      <c r="AV703" s="147"/>
      <c r="AW703" s="147"/>
      <c r="AX703" s="147"/>
      <c r="AY703" s="147"/>
      <c r="AZ703" s="147"/>
      <c r="BA703" s="147"/>
      <c r="BB703" s="147"/>
      <c r="BC703" s="147"/>
      <c r="BD703" s="147"/>
      <c r="BE703" s="147"/>
      <c r="BF703" s="147"/>
      <c r="BG703" s="147"/>
      <c r="BH703" s="147"/>
      <c r="BI703" s="147"/>
      <c r="BJ703" s="147"/>
      <c r="BK703" s="147"/>
      <c r="BL703" s="147"/>
      <c r="BM703" s="147"/>
      <c r="BN703" s="147"/>
      <c r="BO703" s="147"/>
      <c r="BP703" s="147"/>
      <c r="BQ703" s="147"/>
      <c r="BR703" s="147"/>
      <c r="BS703" s="147"/>
      <c r="BT703" s="147"/>
      <c r="BU703" s="147"/>
      <c r="BV703" s="147"/>
      <c r="BW703" s="147"/>
      <c r="BX703" s="147"/>
      <c r="BY703" s="147"/>
      <c r="BZ703" s="147"/>
      <c r="CA703" s="147"/>
      <c r="CB703" s="147"/>
      <c r="CC703" s="147"/>
      <c r="CD703" s="147"/>
      <c r="CE703" s="147"/>
      <c r="CF703" s="147"/>
      <c r="CG703" s="147"/>
      <c r="CH703" s="147"/>
      <c r="CI703" s="147"/>
      <c r="CJ703" s="147"/>
      <c r="CK703" s="147"/>
    </row>
    <row r="704" spans="1:89">
      <c r="A704" s="147"/>
      <c r="B704" s="147"/>
      <c r="C704" s="147"/>
      <c r="D704" s="147"/>
      <c r="E704" s="147"/>
      <c r="F704" s="147"/>
      <c r="G704" s="147"/>
      <c r="H704" s="147"/>
      <c r="I704" s="147"/>
      <c r="J704" s="147"/>
      <c r="K704" s="147"/>
      <c r="L704" s="147"/>
      <c r="M704" s="147"/>
      <c r="N704" s="147"/>
      <c r="O704" s="158"/>
      <c r="P704" s="147"/>
      <c r="Q704" s="147"/>
      <c r="R704" s="147"/>
      <c r="S704" s="147"/>
      <c r="T704" s="147"/>
      <c r="U704" s="147"/>
      <c r="V704" s="147"/>
      <c r="W704" s="147"/>
      <c r="X704" s="147"/>
      <c r="Y704" s="147"/>
      <c r="Z704" s="147"/>
      <c r="AA704" s="147"/>
      <c r="AB704" s="147"/>
      <c r="AC704" s="147"/>
      <c r="AD704" s="147"/>
      <c r="AE704" s="147"/>
      <c r="AF704" s="147"/>
      <c r="AG704" s="147"/>
      <c r="AH704" s="147"/>
      <c r="AI704" s="147"/>
      <c r="AJ704" s="147"/>
      <c r="AK704" s="147"/>
      <c r="AL704" s="147"/>
      <c r="AM704" s="147"/>
      <c r="AN704" s="147"/>
      <c r="AO704" s="147"/>
      <c r="AP704" s="147"/>
      <c r="AQ704" s="147"/>
      <c r="AR704" s="147"/>
      <c r="AS704" s="147"/>
      <c r="AT704" s="147"/>
      <c r="AU704" s="147"/>
      <c r="AV704" s="147"/>
      <c r="AW704" s="147"/>
      <c r="AX704" s="147"/>
      <c r="AY704" s="147"/>
      <c r="AZ704" s="147"/>
      <c r="BA704" s="147"/>
      <c r="BB704" s="147"/>
      <c r="BC704" s="147"/>
      <c r="BD704" s="147"/>
      <c r="BE704" s="147"/>
      <c r="BF704" s="147"/>
      <c r="BG704" s="147"/>
      <c r="BH704" s="147"/>
      <c r="BI704" s="147"/>
      <c r="BJ704" s="147"/>
      <c r="BK704" s="147"/>
      <c r="BL704" s="147"/>
      <c r="BM704" s="147"/>
      <c r="BN704" s="147"/>
      <c r="BO704" s="147"/>
      <c r="BP704" s="147"/>
      <c r="BQ704" s="147"/>
      <c r="BR704" s="147"/>
      <c r="BS704" s="147"/>
      <c r="BT704" s="147"/>
      <c r="BU704" s="147"/>
      <c r="BV704" s="147"/>
      <c r="BW704" s="147"/>
      <c r="BX704" s="147"/>
      <c r="BY704" s="147"/>
      <c r="BZ704" s="147"/>
      <c r="CA704" s="147"/>
      <c r="CB704" s="147"/>
      <c r="CC704" s="147"/>
      <c r="CD704" s="147"/>
      <c r="CE704" s="147"/>
      <c r="CF704" s="147"/>
      <c r="CG704" s="147"/>
      <c r="CH704" s="147"/>
      <c r="CI704" s="147"/>
      <c r="CJ704" s="147"/>
      <c r="CK704" s="147"/>
    </row>
    <row r="705" spans="1:89">
      <c r="A705" s="147"/>
      <c r="B705" s="147"/>
      <c r="C705" s="147"/>
      <c r="D705" s="147"/>
      <c r="E705" s="147"/>
      <c r="F705" s="147"/>
      <c r="G705" s="147"/>
      <c r="H705" s="147"/>
      <c r="I705" s="147"/>
      <c r="J705" s="147"/>
      <c r="K705" s="147"/>
      <c r="L705" s="147"/>
      <c r="M705" s="147"/>
      <c r="N705" s="147"/>
      <c r="O705" s="158"/>
      <c r="P705" s="147"/>
      <c r="Q705" s="147"/>
      <c r="R705" s="147"/>
      <c r="S705" s="147"/>
      <c r="T705" s="147"/>
      <c r="U705" s="147"/>
      <c r="V705" s="147"/>
      <c r="W705" s="147"/>
      <c r="X705" s="147"/>
      <c r="Y705" s="147"/>
      <c r="Z705" s="147"/>
      <c r="AA705" s="147"/>
      <c r="AB705" s="147"/>
      <c r="AC705" s="147"/>
      <c r="AD705" s="147"/>
      <c r="AE705" s="147"/>
      <c r="AF705" s="147"/>
      <c r="AG705" s="147"/>
      <c r="AH705" s="147"/>
      <c r="AI705" s="147"/>
      <c r="AJ705" s="147"/>
      <c r="AK705" s="147"/>
      <c r="AL705" s="147"/>
      <c r="AM705" s="147"/>
      <c r="AN705" s="147"/>
      <c r="AO705" s="147"/>
      <c r="AP705" s="147"/>
      <c r="AQ705" s="147"/>
      <c r="AR705" s="147"/>
      <c r="AS705" s="147"/>
      <c r="AT705" s="147"/>
      <c r="AU705" s="147"/>
      <c r="AV705" s="147"/>
      <c r="AW705" s="147"/>
      <c r="AX705" s="147"/>
      <c r="AY705" s="147"/>
      <c r="AZ705" s="147"/>
      <c r="BA705" s="147"/>
      <c r="BB705" s="147"/>
      <c r="BC705" s="147"/>
      <c r="BD705" s="147"/>
      <c r="BE705" s="147"/>
      <c r="BF705" s="147"/>
      <c r="BG705" s="147"/>
      <c r="BH705" s="147"/>
      <c r="BI705" s="147"/>
      <c r="BJ705" s="147"/>
      <c r="BK705" s="147"/>
      <c r="BL705" s="147"/>
      <c r="BM705" s="147"/>
      <c r="BN705" s="147"/>
      <c r="BO705" s="147"/>
      <c r="BP705" s="147"/>
      <c r="BQ705" s="147"/>
      <c r="BR705" s="147"/>
      <c r="BS705" s="147"/>
      <c r="BT705" s="147"/>
      <c r="BU705" s="147"/>
      <c r="BV705" s="147"/>
      <c r="BW705" s="147"/>
      <c r="BX705" s="147"/>
      <c r="BY705" s="147"/>
      <c r="BZ705" s="147"/>
      <c r="CA705" s="147"/>
      <c r="CB705" s="147"/>
      <c r="CC705" s="147"/>
      <c r="CD705" s="147"/>
      <c r="CE705" s="147"/>
      <c r="CF705" s="147"/>
      <c r="CG705" s="147"/>
      <c r="CH705" s="147"/>
      <c r="CI705" s="147"/>
      <c r="CJ705" s="147"/>
      <c r="CK705" s="147"/>
    </row>
    <row r="706" spans="1:89">
      <c r="A706" s="147"/>
      <c r="B706" s="147"/>
      <c r="C706" s="147"/>
      <c r="D706" s="147"/>
      <c r="E706" s="147"/>
      <c r="F706" s="147"/>
      <c r="G706" s="147"/>
      <c r="H706" s="147"/>
      <c r="I706" s="147"/>
      <c r="J706" s="147"/>
      <c r="K706" s="147"/>
      <c r="L706" s="147"/>
      <c r="M706" s="147"/>
      <c r="N706" s="147"/>
      <c r="O706" s="158"/>
      <c r="P706" s="147"/>
      <c r="Q706" s="147"/>
      <c r="R706" s="147"/>
      <c r="S706" s="147"/>
      <c r="T706" s="147"/>
      <c r="U706" s="147"/>
      <c r="V706" s="147"/>
      <c r="W706" s="147"/>
      <c r="X706" s="147"/>
      <c r="Y706" s="147"/>
      <c r="Z706" s="147"/>
      <c r="AA706" s="147"/>
      <c r="AB706" s="147"/>
      <c r="AC706" s="147"/>
      <c r="AD706" s="147"/>
      <c r="AE706" s="147"/>
      <c r="AF706" s="147"/>
      <c r="AG706" s="147"/>
      <c r="AH706" s="147"/>
      <c r="AI706" s="147"/>
      <c r="AJ706" s="147"/>
      <c r="AK706" s="147"/>
      <c r="AL706" s="147"/>
      <c r="AM706" s="147"/>
      <c r="AN706" s="147"/>
      <c r="AO706" s="147"/>
      <c r="AP706" s="147"/>
      <c r="AQ706" s="147"/>
      <c r="AR706" s="147"/>
      <c r="AS706" s="147"/>
      <c r="AT706" s="147"/>
      <c r="AU706" s="147"/>
      <c r="AV706" s="147"/>
      <c r="AW706" s="147"/>
      <c r="AX706" s="147"/>
      <c r="AY706" s="147"/>
      <c r="AZ706" s="147"/>
      <c r="BA706" s="147"/>
      <c r="BB706" s="147"/>
      <c r="BC706" s="147"/>
      <c r="BD706" s="147"/>
      <c r="BE706" s="147"/>
      <c r="BF706" s="147"/>
      <c r="BG706" s="147"/>
      <c r="BH706" s="147"/>
      <c r="BI706" s="147"/>
      <c r="BJ706" s="147"/>
      <c r="BK706" s="147"/>
      <c r="BL706" s="147"/>
      <c r="BM706" s="147"/>
      <c r="BN706" s="147"/>
      <c r="BO706" s="147"/>
      <c r="BP706" s="147"/>
      <c r="BQ706" s="147"/>
      <c r="BR706" s="147"/>
      <c r="BS706" s="147"/>
      <c r="BT706" s="147"/>
      <c r="BU706" s="147"/>
      <c r="BV706" s="147"/>
      <c r="BW706" s="147"/>
      <c r="BX706" s="147"/>
      <c r="BY706" s="147"/>
      <c r="BZ706" s="147"/>
      <c r="CA706" s="147"/>
      <c r="CB706" s="147"/>
      <c r="CC706" s="147"/>
      <c r="CD706" s="147"/>
      <c r="CE706" s="147"/>
      <c r="CF706" s="147"/>
      <c r="CG706" s="147"/>
      <c r="CH706" s="147"/>
      <c r="CI706" s="147"/>
      <c r="CJ706" s="147"/>
      <c r="CK706" s="147"/>
    </row>
    <row r="707" spans="1:89">
      <c r="A707" s="147"/>
      <c r="B707" s="147"/>
      <c r="C707" s="147"/>
      <c r="D707" s="147"/>
      <c r="E707" s="147"/>
      <c r="F707" s="147"/>
      <c r="G707" s="147"/>
      <c r="H707" s="147"/>
      <c r="I707" s="147"/>
      <c r="J707" s="147"/>
      <c r="K707" s="147"/>
      <c r="L707" s="147"/>
      <c r="M707" s="147"/>
      <c r="N707" s="147"/>
      <c r="O707" s="158"/>
      <c r="P707" s="147"/>
      <c r="Q707" s="147"/>
      <c r="R707" s="147"/>
      <c r="S707" s="147"/>
      <c r="T707" s="147"/>
      <c r="U707" s="147"/>
      <c r="V707" s="147"/>
      <c r="W707" s="147"/>
      <c r="X707" s="147"/>
      <c r="Y707" s="147"/>
      <c r="Z707" s="147"/>
      <c r="AA707" s="147"/>
      <c r="AB707" s="147"/>
      <c r="AC707" s="147"/>
      <c r="AD707" s="147"/>
      <c r="AE707" s="147"/>
      <c r="AF707" s="147"/>
      <c r="AG707" s="147"/>
      <c r="AH707" s="147"/>
      <c r="AI707" s="147"/>
      <c r="AJ707" s="147"/>
      <c r="AK707" s="147"/>
      <c r="AL707" s="147"/>
      <c r="AM707" s="147"/>
      <c r="AN707" s="147"/>
      <c r="AO707" s="147"/>
      <c r="AP707" s="147"/>
      <c r="AQ707" s="147"/>
      <c r="AR707" s="147"/>
      <c r="AS707" s="147"/>
      <c r="AT707" s="147"/>
      <c r="AU707" s="147"/>
      <c r="AV707" s="147"/>
      <c r="AW707" s="147"/>
      <c r="AX707" s="147"/>
      <c r="AY707" s="147"/>
      <c r="AZ707" s="147"/>
      <c r="BA707" s="147"/>
      <c r="BB707" s="147"/>
      <c r="BC707" s="147"/>
      <c r="BD707" s="147"/>
      <c r="BE707" s="147"/>
      <c r="BF707" s="147"/>
      <c r="BG707" s="147"/>
      <c r="BH707" s="147"/>
      <c r="BI707" s="147"/>
      <c r="BJ707" s="147"/>
      <c r="BK707" s="147"/>
      <c r="BL707" s="147"/>
      <c r="BM707" s="147"/>
      <c r="BN707" s="147"/>
      <c r="BO707" s="147"/>
      <c r="BP707" s="147"/>
      <c r="BQ707" s="147"/>
      <c r="BR707" s="147"/>
      <c r="BS707" s="147"/>
      <c r="BT707" s="147"/>
      <c r="BU707" s="147"/>
      <c r="BV707" s="147"/>
      <c r="BW707" s="147"/>
      <c r="BX707" s="147"/>
      <c r="BY707" s="147"/>
      <c r="BZ707" s="147"/>
      <c r="CA707" s="147"/>
      <c r="CB707" s="147"/>
      <c r="CC707" s="147"/>
      <c r="CD707" s="147"/>
      <c r="CE707" s="147"/>
      <c r="CF707" s="147"/>
      <c r="CG707" s="147"/>
      <c r="CH707" s="147"/>
      <c r="CI707" s="147"/>
      <c r="CJ707" s="147"/>
      <c r="CK707" s="147"/>
    </row>
    <row r="708" spans="1:89">
      <c r="A708" s="147"/>
      <c r="B708" s="147"/>
      <c r="C708" s="147"/>
      <c r="D708" s="147"/>
      <c r="E708" s="147"/>
      <c r="F708" s="147"/>
      <c r="G708" s="147"/>
      <c r="H708" s="147"/>
      <c r="I708" s="147"/>
      <c r="J708" s="147"/>
      <c r="K708" s="147"/>
      <c r="L708" s="147"/>
      <c r="M708" s="147"/>
      <c r="N708" s="147"/>
      <c r="O708" s="158"/>
      <c r="P708" s="147"/>
      <c r="Q708" s="147"/>
      <c r="R708" s="147"/>
      <c r="S708" s="147"/>
      <c r="T708" s="147"/>
      <c r="U708" s="147"/>
      <c r="V708" s="147"/>
      <c r="W708" s="147"/>
      <c r="X708" s="147"/>
      <c r="Y708" s="147"/>
      <c r="Z708" s="147"/>
      <c r="AA708" s="147"/>
      <c r="AB708" s="147"/>
      <c r="AC708" s="147"/>
      <c r="AD708" s="147"/>
      <c r="AE708" s="147"/>
      <c r="AF708" s="147"/>
      <c r="AG708" s="147"/>
      <c r="AH708" s="147"/>
      <c r="AI708" s="147"/>
      <c r="AJ708" s="147"/>
      <c r="AK708" s="147"/>
      <c r="AL708" s="147"/>
      <c r="AM708" s="147"/>
      <c r="AN708" s="147"/>
      <c r="AO708" s="147"/>
      <c r="AP708" s="147"/>
      <c r="AQ708" s="147"/>
      <c r="AR708" s="147"/>
      <c r="AS708" s="147"/>
      <c r="AT708" s="147"/>
      <c r="AU708" s="147"/>
      <c r="AV708" s="147"/>
      <c r="AW708" s="147"/>
      <c r="AX708" s="147"/>
      <c r="AY708" s="147"/>
      <c r="AZ708" s="147"/>
      <c r="BA708" s="147"/>
      <c r="BB708" s="147"/>
      <c r="BC708" s="147"/>
      <c r="BD708" s="147"/>
      <c r="BE708" s="147"/>
      <c r="BF708" s="147"/>
      <c r="BG708" s="147"/>
      <c r="BH708" s="147"/>
      <c r="BI708" s="147"/>
      <c r="BJ708" s="147"/>
      <c r="BK708" s="147"/>
      <c r="BL708" s="147"/>
      <c r="BM708" s="147"/>
      <c r="BN708" s="147"/>
      <c r="BO708" s="147"/>
      <c r="BP708" s="147"/>
      <c r="BQ708" s="147"/>
      <c r="BR708" s="147"/>
      <c r="BS708" s="147"/>
      <c r="BT708" s="147"/>
      <c r="BU708" s="147"/>
      <c r="BV708" s="147"/>
      <c r="BW708" s="147"/>
      <c r="BX708" s="147"/>
      <c r="BY708" s="147"/>
      <c r="BZ708" s="147"/>
      <c r="CA708" s="147"/>
      <c r="CB708" s="147"/>
      <c r="CC708" s="147"/>
      <c r="CD708" s="147"/>
      <c r="CE708" s="147"/>
      <c r="CF708" s="147"/>
      <c r="CG708" s="147"/>
      <c r="CH708" s="147"/>
      <c r="CI708" s="147"/>
      <c r="CJ708" s="147"/>
      <c r="CK708" s="147"/>
    </row>
    <row r="709" spans="1:89">
      <c r="A709" s="147"/>
      <c r="B709" s="147"/>
      <c r="C709" s="147"/>
      <c r="D709" s="147"/>
      <c r="E709" s="147"/>
      <c r="F709" s="147"/>
      <c r="G709" s="147"/>
      <c r="H709" s="147"/>
      <c r="I709" s="147"/>
      <c r="J709" s="147"/>
      <c r="K709" s="147"/>
      <c r="L709" s="147"/>
      <c r="M709" s="147"/>
      <c r="N709" s="147"/>
      <c r="O709" s="158"/>
      <c r="P709" s="147"/>
      <c r="Q709" s="147"/>
      <c r="R709" s="147"/>
      <c r="S709" s="147"/>
      <c r="T709" s="147"/>
      <c r="U709" s="147"/>
      <c r="V709" s="147"/>
      <c r="W709" s="147"/>
      <c r="X709" s="147"/>
      <c r="Y709" s="147"/>
      <c r="Z709" s="147"/>
      <c r="AA709" s="147"/>
      <c r="AB709" s="147"/>
      <c r="AC709" s="147"/>
      <c r="AD709" s="147"/>
      <c r="AE709" s="147"/>
      <c r="AF709" s="147"/>
      <c r="AG709" s="147"/>
      <c r="AH709" s="147"/>
      <c r="AI709" s="147"/>
      <c r="AJ709" s="147"/>
      <c r="AK709" s="147"/>
      <c r="AL709" s="147"/>
      <c r="AM709" s="147"/>
      <c r="AN709" s="147"/>
      <c r="AO709" s="147"/>
      <c r="AP709" s="147"/>
      <c r="AQ709" s="147"/>
      <c r="AR709" s="147"/>
      <c r="AS709" s="147"/>
      <c r="AT709" s="147"/>
      <c r="AU709" s="147"/>
      <c r="AV709" s="147"/>
      <c r="AW709" s="147"/>
      <c r="AX709" s="147"/>
      <c r="AY709" s="147"/>
      <c r="AZ709" s="147"/>
      <c r="BA709" s="147"/>
      <c r="BB709" s="147"/>
      <c r="BC709" s="147"/>
      <c r="BD709" s="147"/>
      <c r="BE709" s="147"/>
      <c r="BF709" s="147"/>
      <c r="BG709" s="147"/>
      <c r="BH709" s="147"/>
      <c r="BI709" s="147"/>
      <c r="BJ709" s="147"/>
      <c r="BK709" s="147"/>
      <c r="BL709" s="147"/>
      <c r="BM709" s="147"/>
      <c r="BN709" s="147"/>
      <c r="BO709" s="147"/>
      <c r="BP709" s="147"/>
      <c r="BQ709" s="147"/>
      <c r="BR709" s="147"/>
      <c r="BS709" s="147"/>
      <c r="BT709" s="147"/>
      <c r="BU709" s="147"/>
      <c r="BV709" s="147"/>
      <c r="BW709" s="147"/>
      <c r="BX709" s="147"/>
      <c r="BY709" s="147"/>
      <c r="BZ709" s="147"/>
      <c r="CA709" s="147"/>
      <c r="CB709" s="147"/>
      <c r="CC709" s="147"/>
      <c r="CD709" s="147"/>
      <c r="CE709" s="147"/>
      <c r="CF709" s="147"/>
      <c r="CG709" s="147"/>
      <c r="CH709" s="147"/>
      <c r="CI709" s="147"/>
      <c r="CJ709" s="147"/>
      <c r="CK709" s="147"/>
    </row>
    <row r="710" spans="1:89">
      <c r="A710" s="147"/>
      <c r="B710" s="147"/>
      <c r="C710" s="147"/>
      <c r="D710" s="147"/>
      <c r="E710" s="147"/>
      <c r="F710" s="147"/>
      <c r="G710" s="147"/>
      <c r="H710" s="147"/>
      <c r="I710" s="147"/>
      <c r="J710" s="147"/>
      <c r="K710" s="147"/>
      <c r="L710" s="147"/>
      <c r="M710" s="147"/>
      <c r="N710" s="147"/>
      <c r="O710" s="158"/>
      <c r="P710" s="147"/>
      <c r="Q710" s="147"/>
      <c r="R710" s="147"/>
      <c r="S710" s="147"/>
      <c r="T710" s="147"/>
      <c r="U710" s="147"/>
      <c r="V710" s="147"/>
      <c r="W710" s="147"/>
      <c r="X710" s="147"/>
      <c r="Y710" s="147"/>
      <c r="Z710" s="147"/>
      <c r="AA710" s="147"/>
      <c r="AB710" s="147"/>
      <c r="AC710" s="147"/>
      <c r="AD710" s="147"/>
      <c r="AE710" s="147"/>
      <c r="AF710" s="147"/>
      <c r="AG710" s="147"/>
      <c r="AH710" s="147"/>
      <c r="AI710" s="147"/>
      <c r="AJ710" s="147"/>
      <c r="AK710" s="147"/>
      <c r="AL710" s="147"/>
      <c r="AM710" s="147"/>
      <c r="AN710" s="147"/>
      <c r="AO710" s="147"/>
      <c r="AP710" s="147"/>
      <c r="AQ710" s="147"/>
      <c r="AR710" s="147"/>
      <c r="AS710" s="147"/>
      <c r="AT710" s="147"/>
      <c r="AU710" s="147"/>
      <c r="AV710" s="147"/>
      <c r="AW710" s="147"/>
      <c r="AX710" s="147"/>
      <c r="AY710" s="147"/>
      <c r="AZ710" s="147"/>
      <c r="BA710" s="147"/>
      <c r="BB710" s="147"/>
      <c r="BC710" s="147"/>
      <c r="BD710" s="147"/>
      <c r="BE710" s="147"/>
      <c r="BF710" s="147"/>
      <c r="BG710" s="147"/>
      <c r="BH710" s="147"/>
      <c r="BI710" s="147"/>
      <c r="BJ710" s="147"/>
      <c r="BK710" s="147"/>
      <c r="BL710" s="147"/>
      <c r="BM710" s="147"/>
      <c r="BN710" s="147"/>
      <c r="BO710" s="147"/>
      <c r="BP710" s="147"/>
      <c r="BQ710" s="147"/>
      <c r="BR710" s="147"/>
      <c r="BS710" s="147"/>
      <c r="BT710" s="147"/>
      <c r="BU710" s="147"/>
      <c r="BV710" s="147"/>
      <c r="BW710" s="147"/>
      <c r="BX710" s="147"/>
      <c r="BY710" s="147"/>
      <c r="BZ710" s="147"/>
      <c r="CA710" s="147"/>
      <c r="CB710" s="147"/>
      <c r="CC710" s="147"/>
      <c r="CD710" s="147"/>
      <c r="CE710" s="147"/>
      <c r="CF710" s="147"/>
      <c r="CG710" s="147"/>
      <c r="CH710" s="147"/>
      <c r="CI710" s="147"/>
      <c r="CJ710" s="147"/>
      <c r="CK710" s="147"/>
    </row>
    <row r="711" spans="1:89">
      <c r="A711" s="147"/>
      <c r="B711" s="147"/>
      <c r="C711" s="147"/>
      <c r="D711" s="147"/>
      <c r="E711" s="147"/>
      <c r="F711" s="147"/>
      <c r="G711" s="147"/>
      <c r="H711" s="147"/>
      <c r="I711" s="147"/>
      <c r="J711" s="147"/>
      <c r="K711" s="147"/>
      <c r="L711" s="147"/>
      <c r="M711" s="147"/>
      <c r="N711" s="147"/>
      <c r="O711" s="158"/>
      <c r="P711" s="147"/>
      <c r="Q711" s="147"/>
      <c r="R711" s="147"/>
      <c r="S711" s="147"/>
      <c r="T711" s="147"/>
      <c r="U711" s="147"/>
      <c r="V711" s="147"/>
      <c r="W711" s="147"/>
      <c r="X711" s="147"/>
      <c r="Y711" s="147"/>
      <c r="Z711" s="147"/>
      <c r="AA711" s="147"/>
      <c r="AB711" s="147"/>
      <c r="AC711" s="147"/>
      <c r="AD711" s="147"/>
      <c r="AE711" s="147"/>
      <c r="AF711" s="147"/>
      <c r="AG711" s="147"/>
      <c r="AH711" s="147"/>
      <c r="AI711" s="147"/>
      <c r="AJ711" s="147"/>
      <c r="AK711" s="147"/>
      <c r="AL711" s="147"/>
      <c r="AM711" s="147"/>
      <c r="AN711" s="147"/>
      <c r="AO711" s="147"/>
      <c r="AP711" s="147"/>
      <c r="AQ711" s="147"/>
      <c r="AR711" s="147"/>
      <c r="AS711" s="147"/>
      <c r="AT711" s="147"/>
      <c r="AU711" s="147"/>
      <c r="AV711" s="147"/>
      <c r="AW711" s="147"/>
      <c r="AX711" s="147"/>
      <c r="AY711" s="147"/>
      <c r="AZ711" s="147"/>
      <c r="BA711" s="147"/>
      <c r="BB711" s="147"/>
      <c r="BC711" s="147"/>
      <c r="BD711" s="147"/>
      <c r="BE711" s="147"/>
      <c r="BF711" s="147"/>
      <c r="BG711" s="147"/>
      <c r="BH711" s="147"/>
      <c r="BI711" s="147"/>
      <c r="BJ711" s="147"/>
      <c r="BK711" s="147"/>
      <c r="BL711" s="147"/>
      <c r="BM711" s="147"/>
      <c r="BN711" s="147"/>
      <c r="BO711" s="147"/>
      <c r="BP711" s="147"/>
      <c r="BQ711" s="147"/>
      <c r="BR711" s="147"/>
      <c r="BS711" s="147"/>
      <c r="BT711" s="147"/>
      <c r="BU711" s="147"/>
      <c r="BV711" s="147"/>
      <c r="BW711" s="147"/>
      <c r="BX711" s="147"/>
      <c r="BY711" s="147"/>
      <c r="BZ711" s="147"/>
      <c r="CA711" s="147"/>
      <c r="CB711" s="147"/>
      <c r="CC711" s="147"/>
      <c r="CD711" s="147"/>
      <c r="CE711" s="147"/>
      <c r="CF711" s="147"/>
      <c r="CG711" s="147"/>
      <c r="CH711" s="147"/>
      <c r="CI711" s="147"/>
      <c r="CJ711" s="147"/>
      <c r="CK711" s="147"/>
    </row>
    <row r="712" spans="1:89">
      <c r="A712" s="147"/>
      <c r="B712" s="147"/>
      <c r="C712" s="147"/>
      <c r="D712" s="147"/>
      <c r="E712" s="147"/>
      <c r="F712" s="147"/>
      <c r="G712" s="147"/>
      <c r="H712" s="147"/>
      <c r="I712" s="147"/>
      <c r="J712" s="147"/>
      <c r="K712" s="147"/>
      <c r="L712" s="147"/>
      <c r="M712" s="147"/>
      <c r="N712" s="147"/>
      <c r="O712" s="158"/>
      <c r="P712" s="147"/>
      <c r="Q712" s="147"/>
      <c r="R712" s="147"/>
      <c r="S712" s="147"/>
      <c r="T712" s="147"/>
      <c r="U712" s="147"/>
      <c r="V712" s="147"/>
      <c r="W712" s="147"/>
      <c r="X712" s="147"/>
      <c r="Y712" s="147"/>
      <c r="Z712" s="147"/>
      <c r="AA712" s="147"/>
      <c r="AB712" s="147"/>
      <c r="AC712" s="147"/>
      <c r="AD712" s="147"/>
      <c r="AE712" s="147"/>
      <c r="AF712" s="147"/>
      <c r="AG712" s="147"/>
      <c r="AH712" s="147"/>
      <c r="AI712" s="147"/>
      <c r="AJ712" s="147"/>
      <c r="AK712" s="147"/>
      <c r="AL712" s="147"/>
      <c r="AM712" s="147"/>
      <c r="AN712" s="147"/>
      <c r="AO712" s="147"/>
      <c r="AP712" s="147"/>
      <c r="AQ712" s="147"/>
      <c r="AR712" s="147"/>
      <c r="AS712" s="147"/>
      <c r="AT712" s="147"/>
      <c r="AU712" s="147"/>
      <c r="AV712" s="147"/>
      <c r="AW712" s="147"/>
      <c r="AX712" s="147"/>
      <c r="AY712" s="147"/>
      <c r="AZ712" s="147"/>
      <c r="BA712" s="147"/>
      <c r="BB712" s="147"/>
      <c r="BC712" s="147"/>
      <c r="BD712" s="147"/>
      <c r="BE712" s="147"/>
      <c r="BF712" s="147"/>
      <c r="BG712" s="147"/>
      <c r="BH712" s="147"/>
      <c r="BI712" s="147"/>
      <c r="BJ712" s="147"/>
      <c r="BK712" s="147"/>
      <c r="BL712" s="147"/>
      <c r="BM712" s="147"/>
      <c r="BN712" s="147"/>
      <c r="BO712" s="147"/>
      <c r="BP712" s="147"/>
      <c r="BQ712" s="147"/>
      <c r="BR712" s="147"/>
      <c r="BS712" s="147"/>
      <c r="BT712" s="147"/>
      <c r="BU712" s="147"/>
      <c r="BV712" s="147"/>
      <c r="BW712" s="147"/>
      <c r="BX712" s="147"/>
      <c r="BY712" s="147"/>
      <c r="BZ712" s="147"/>
      <c r="CA712" s="147"/>
      <c r="CB712" s="147"/>
      <c r="CC712" s="147"/>
      <c r="CD712" s="147"/>
      <c r="CE712" s="147"/>
      <c r="CF712" s="147"/>
      <c r="CG712" s="147"/>
      <c r="CH712" s="147"/>
      <c r="CI712" s="147"/>
      <c r="CJ712" s="147"/>
      <c r="CK712" s="147"/>
    </row>
    <row r="713" spans="1:89">
      <c r="A713" s="147"/>
      <c r="B713" s="147"/>
      <c r="C713" s="147"/>
      <c r="D713" s="147"/>
      <c r="E713" s="147"/>
      <c r="F713" s="147"/>
      <c r="G713" s="147"/>
      <c r="H713" s="147"/>
      <c r="I713" s="147"/>
      <c r="J713" s="147"/>
      <c r="K713" s="147"/>
      <c r="L713" s="147"/>
      <c r="M713" s="147"/>
      <c r="N713" s="147"/>
      <c r="O713" s="158"/>
      <c r="P713" s="147"/>
      <c r="Q713" s="147"/>
      <c r="R713" s="147"/>
      <c r="S713" s="147"/>
      <c r="T713" s="147"/>
      <c r="U713" s="147"/>
      <c r="V713" s="147"/>
      <c r="W713" s="147"/>
      <c r="X713" s="147"/>
      <c r="Y713" s="147"/>
      <c r="Z713" s="147"/>
      <c r="AA713" s="147"/>
      <c r="AB713" s="147"/>
      <c r="AC713" s="147"/>
      <c r="AD713" s="147"/>
      <c r="AE713" s="147"/>
      <c r="AF713" s="147"/>
      <c r="AG713" s="147"/>
      <c r="AH713" s="147"/>
      <c r="AI713" s="147"/>
      <c r="AJ713" s="147"/>
      <c r="AK713" s="147"/>
      <c r="AL713" s="147"/>
      <c r="AM713" s="147"/>
      <c r="AN713" s="147"/>
      <c r="AO713" s="147"/>
      <c r="AP713" s="147"/>
      <c r="AQ713" s="147"/>
      <c r="AR713" s="147"/>
      <c r="AS713" s="147"/>
      <c r="AT713" s="147"/>
      <c r="AU713" s="147"/>
      <c r="AV713" s="147"/>
      <c r="AW713" s="147"/>
      <c r="AX713" s="147"/>
      <c r="AY713" s="147"/>
      <c r="AZ713" s="147"/>
      <c r="BA713" s="147"/>
      <c r="BB713" s="147"/>
      <c r="BC713" s="147"/>
      <c r="BD713" s="147"/>
      <c r="BE713" s="147"/>
      <c r="BF713" s="147"/>
      <c r="BG713" s="147"/>
      <c r="BH713" s="147"/>
      <c r="BI713" s="147"/>
      <c r="BJ713" s="147"/>
      <c r="BK713" s="147"/>
      <c r="BL713" s="147"/>
      <c r="BM713" s="147"/>
      <c r="BN713" s="147"/>
      <c r="BO713" s="147"/>
      <c r="BP713" s="147"/>
      <c r="BQ713" s="147"/>
      <c r="BR713" s="147"/>
      <c r="BS713" s="147"/>
      <c r="BT713" s="147"/>
      <c r="BU713" s="147"/>
      <c r="BV713" s="147"/>
      <c r="BW713" s="147"/>
      <c r="BX713" s="147"/>
      <c r="BY713" s="147"/>
      <c r="BZ713" s="147"/>
      <c r="CA713" s="147"/>
      <c r="CB713" s="147"/>
      <c r="CC713" s="147"/>
      <c r="CD713" s="147"/>
      <c r="CE713" s="147"/>
      <c r="CF713" s="147"/>
      <c r="CG713" s="147"/>
      <c r="CH713" s="147"/>
      <c r="CI713" s="147"/>
      <c r="CJ713" s="147"/>
      <c r="CK713" s="147"/>
    </row>
    <row r="714" spans="1:89">
      <c r="A714" s="147"/>
      <c r="B714" s="147"/>
      <c r="C714" s="147"/>
      <c r="D714" s="147"/>
      <c r="E714" s="147"/>
      <c r="F714" s="147"/>
      <c r="G714" s="147"/>
      <c r="H714" s="147"/>
      <c r="I714" s="147"/>
      <c r="J714" s="147"/>
      <c r="K714" s="147"/>
      <c r="L714" s="147"/>
      <c r="M714" s="147"/>
      <c r="N714" s="147"/>
      <c r="O714" s="158"/>
      <c r="P714" s="147"/>
      <c r="Q714" s="147"/>
      <c r="R714" s="147"/>
      <c r="S714" s="147"/>
      <c r="T714" s="147"/>
      <c r="U714" s="147"/>
      <c r="V714" s="147"/>
      <c r="W714" s="147"/>
      <c r="X714" s="147"/>
      <c r="Y714" s="147"/>
      <c r="Z714" s="147"/>
      <c r="AA714" s="147"/>
      <c r="AB714" s="147"/>
      <c r="AC714" s="147"/>
      <c r="AD714" s="147"/>
      <c r="AE714" s="147"/>
      <c r="AF714" s="147"/>
      <c r="AG714" s="147"/>
      <c r="AH714" s="147"/>
      <c r="AI714" s="147"/>
      <c r="AJ714" s="147"/>
      <c r="AK714" s="147"/>
      <c r="AL714" s="147"/>
      <c r="AM714" s="147"/>
      <c r="AN714" s="147"/>
      <c r="AO714" s="147"/>
      <c r="AP714" s="147"/>
      <c r="AQ714" s="147"/>
      <c r="AR714" s="147"/>
      <c r="AS714" s="147"/>
      <c r="AT714" s="147"/>
      <c r="AU714" s="147"/>
      <c r="AV714" s="147"/>
      <c r="AW714" s="147"/>
      <c r="AX714" s="147"/>
      <c r="AY714" s="147"/>
      <c r="AZ714" s="147"/>
      <c r="BA714" s="147"/>
      <c r="BB714" s="147"/>
      <c r="BC714" s="147"/>
      <c r="BD714" s="147"/>
      <c r="BE714" s="147"/>
      <c r="BF714" s="147"/>
      <c r="BG714" s="147"/>
      <c r="BH714" s="147"/>
      <c r="BI714" s="147"/>
      <c r="BJ714" s="147"/>
      <c r="BK714" s="147"/>
      <c r="BL714" s="147"/>
      <c r="BM714" s="147"/>
      <c r="BN714" s="147"/>
      <c r="BO714" s="147"/>
      <c r="BP714" s="147"/>
      <c r="BQ714" s="147"/>
      <c r="BR714" s="147"/>
      <c r="BS714" s="147"/>
      <c r="BT714" s="147"/>
      <c r="BU714" s="147"/>
      <c r="BV714" s="147"/>
      <c r="BW714" s="147"/>
      <c r="BX714" s="147"/>
      <c r="BY714" s="147"/>
      <c r="BZ714" s="147"/>
      <c r="CA714" s="147"/>
      <c r="CB714" s="147"/>
      <c r="CC714" s="147"/>
      <c r="CD714" s="147"/>
      <c r="CE714" s="147"/>
      <c r="CF714" s="147"/>
      <c r="CG714" s="147"/>
      <c r="CH714" s="147"/>
      <c r="CI714" s="147"/>
      <c r="CJ714" s="147"/>
      <c r="CK714" s="147"/>
    </row>
    <row r="715" spans="1:89">
      <c r="A715" s="147"/>
      <c r="B715" s="147"/>
      <c r="C715" s="147"/>
      <c r="D715" s="147"/>
      <c r="E715" s="147"/>
      <c r="F715" s="147"/>
      <c r="G715" s="147"/>
      <c r="H715" s="147"/>
      <c r="I715" s="147"/>
      <c r="J715" s="147"/>
      <c r="K715" s="147"/>
      <c r="L715" s="147"/>
      <c r="M715" s="147"/>
      <c r="N715" s="147"/>
      <c r="O715" s="158"/>
      <c r="P715" s="147"/>
      <c r="Q715" s="147"/>
      <c r="R715" s="147"/>
      <c r="S715" s="147"/>
      <c r="T715" s="147"/>
      <c r="U715" s="147"/>
      <c r="V715" s="147"/>
      <c r="W715" s="147"/>
      <c r="X715" s="147"/>
      <c r="Y715" s="147"/>
      <c r="Z715" s="147"/>
      <c r="AA715" s="147"/>
      <c r="AB715" s="147"/>
      <c r="AC715" s="147"/>
      <c r="AD715" s="147"/>
      <c r="AE715" s="147"/>
      <c r="AF715" s="147"/>
      <c r="AG715" s="147"/>
      <c r="AH715" s="147"/>
      <c r="AI715" s="147"/>
      <c r="AJ715" s="147"/>
      <c r="AK715" s="147"/>
      <c r="AL715" s="147"/>
      <c r="AM715" s="147"/>
      <c r="AN715" s="147"/>
      <c r="AO715" s="147"/>
      <c r="AP715" s="147"/>
      <c r="AQ715" s="147"/>
      <c r="AR715" s="147"/>
      <c r="AS715" s="147"/>
      <c r="AT715" s="147"/>
      <c r="AU715" s="147"/>
      <c r="AV715" s="147"/>
      <c r="AW715" s="147"/>
      <c r="AX715" s="147"/>
      <c r="AY715" s="147"/>
      <c r="AZ715" s="147"/>
      <c r="BA715" s="147"/>
      <c r="BB715" s="147"/>
      <c r="BC715" s="147"/>
      <c r="BD715" s="147"/>
      <c r="BE715" s="147"/>
      <c r="BF715" s="147"/>
      <c r="BG715" s="147"/>
      <c r="BH715" s="147"/>
      <c r="BI715" s="147"/>
      <c r="BJ715" s="147"/>
      <c r="BK715" s="147"/>
      <c r="BL715" s="147"/>
      <c r="BM715" s="147"/>
      <c r="BN715" s="147"/>
      <c r="BO715" s="147"/>
      <c r="BP715" s="147"/>
      <c r="BQ715" s="147"/>
      <c r="BR715" s="147"/>
      <c r="BS715" s="147"/>
      <c r="BT715" s="147"/>
      <c r="BU715" s="147"/>
      <c r="BV715" s="147"/>
      <c r="BW715" s="147"/>
      <c r="BX715" s="147"/>
      <c r="BY715" s="147"/>
      <c r="BZ715" s="147"/>
      <c r="CA715" s="147"/>
      <c r="CB715" s="147"/>
      <c r="CC715" s="147"/>
      <c r="CD715" s="147"/>
      <c r="CE715" s="147"/>
      <c r="CF715" s="147"/>
      <c r="CG715" s="147"/>
      <c r="CH715" s="147"/>
      <c r="CI715" s="147"/>
      <c r="CJ715" s="147"/>
      <c r="CK715" s="147"/>
    </row>
    <row r="716" spans="1:89">
      <c r="A716" s="147"/>
      <c r="B716" s="147"/>
      <c r="C716" s="147"/>
      <c r="D716" s="147"/>
      <c r="E716" s="147"/>
      <c r="F716" s="147"/>
      <c r="G716" s="147"/>
      <c r="H716" s="147"/>
      <c r="I716" s="147"/>
      <c r="J716" s="147"/>
      <c r="K716" s="147"/>
      <c r="L716" s="147"/>
      <c r="M716" s="147"/>
      <c r="N716" s="147"/>
      <c r="O716" s="158"/>
      <c r="P716" s="147"/>
      <c r="Q716" s="147"/>
      <c r="R716" s="147"/>
      <c r="S716" s="147"/>
      <c r="T716" s="147"/>
      <c r="U716" s="147"/>
      <c r="V716" s="147"/>
      <c r="W716" s="147"/>
      <c r="X716" s="147"/>
      <c r="Y716" s="147"/>
      <c r="Z716" s="147"/>
      <c r="AA716" s="147"/>
      <c r="AB716" s="147"/>
      <c r="AC716" s="147"/>
      <c r="AD716" s="147"/>
      <c r="AE716" s="147"/>
      <c r="AF716" s="147"/>
      <c r="AG716" s="147"/>
      <c r="AH716" s="147"/>
      <c r="AI716" s="147"/>
      <c r="AJ716" s="147"/>
      <c r="AK716" s="147"/>
      <c r="AL716" s="147"/>
      <c r="AM716" s="147"/>
      <c r="AN716" s="147"/>
      <c r="AO716" s="147"/>
      <c r="AP716" s="147"/>
      <c r="AQ716" s="147"/>
      <c r="AR716" s="147"/>
      <c r="AS716" s="147"/>
      <c r="AT716" s="147"/>
      <c r="AU716" s="147"/>
      <c r="AV716" s="147"/>
      <c r="AW716" s="147"/>
      <c r="AX716" s="147"/>
      <c r="AY716" s="147"/>
      <c r="AZ716" s="147"/>
      <c r="BA716" s="147"/>
      <c r="BB716" s="147"/>
      <c r="BC716" s="147"/>
      <c r="BD716" s="147"/>
      <c r="BE716" s="147"/>
      <c r="BF716" s="147"/>
      <c r="BG716" s="147"/>
      <c r="BH716" s="147"/>
      <c r="BI716" s="147"/>
      <c r="BJ716" s="147"/>
      <c r="BK716" s="147"/>
      <c r="BL716" s="147"/>
      <c r="BM716" s="147"/>
      <c r="BN716" s="147"/>
      <c r="BO716" s="147"/>
      <c r="BP716" s="147"/>
      <c r="BQ716" s="147"/>
      <c r="BR716" s="147"/>
      <c r="BS716" s="147"/>
      <c r="BT716" s="147"/>
      <c r="BU716" s="147"/>
      <c r="BV716" s="147"/>
      <c r="BW716" s="147"/>
      <c r="BX716" s="147"/>
      <c r="BY716" s="147"/>
      <c r="BZ716" s="147"/>
      <c r="CA716" s="147"/>
      <c r="CB716" s="147"/>
      <c r="CC716" s="147"/>
      <c r="CD716" s="147"/>
      <c r="CE716" s="147"/>
      <c r="CF716" s="147"/>
      <c r="CG716" s="147"/>
      <c r="CH716" s="147"/>
      <c r="CI716" s="147"/>
      <c r="CJ716" s="147"/>
      <c r="CK716" s="147"/>
    </row>
    <row r="717" spans="1:89">
      <c r="A717" s="147"/>
      <c r="B717" s="147"/>
      <c r="C717" s="147"/>
      <c r="D717" s="147"/>
      <c r="E717" s="147"/>
      <c r="F717" s="147"/>
      <c r="G717" s="147"/>
      <c r="H717" s="147"/>
      <c r="I717" s="147"/>
      <c r="J717" s="147"/>
      <c r="K717" s="147"/>
      <c r="L717" s="147"/>
      <c r="M717" s="147"/>
      <c r="N717" s="147"/>
      <c r="O717" s="158"/>
      <c r="P717" s="147"/>
      <c r="Q717" s="147"/>
      <c r="R717" s="147"/>
      <c r="S717" s="147"/>
      <c r="T717" s="147"/>
      <c r="U717" s="147"/>
      <c r="V717" s="147"/>
      <c r="W717" s="147"/>
      <c r="X717" s="147"/>
      <c r="Y717" s="147"/>
      <c r="Z717" s="147"/>
      <c r="AA717" s="147"/>
      <c r="AB717" s="147"/>
      <c r="AC717" s="147"/>
      <c r="AD717" s="147"/>
      <c r="AE717" s="147"/>
      <c r="AF717" s="147"/>
      <c r="AG717" s="147"/>
      <c r="AH717" s="147"/>
      <c r="AI717" s="147"/>
      <c r="AJ717" s="147"/>
      <c r="AK717" s="147"/>
      <c r="AL717" s="147"/>
      <c r="AM717" s="147"/>
      <c r="AN717" s="147"/>
      <c r="AO717" s="147"/>
      <c r="AP717" s="147"/>
      <c r="AQ717" s="147"/>
      <c r="AR717" s="147"/>
      <c r="AS717" s="147"/>
      <c r="AT717" s="147"/>
      <c r="AU717" s="147"/>
      <c r="AV717" s="147"/>
      <c r="AW717" s="147"/>
      <c r="AX717" s="147"/>
      <c r="AY717" s="147"/>
      <c r="AZ717" s="147"/>
      <c r="BA717" s="147"/>
      <c r="BB717" s="147"/>
      <c r="BC717" s="147"/>
      <c r="BD717" s="147"/>
      <c r="BE717" s="147"/>
      <c r="BF717" s="147"/>
      <c r="BG717" s="147"/>
      <c r="BH717" s="147"/>
      <c r="BI717" s="147"/>
      <c r="BJ717" s="147"/>
      <c r="BK717" s="147"/>
      <c r="BL717" s="147"/>
      <c r="BM717" s="147"/>
      <c r="BN717" s="147"/>
      <c r="BO717" s="147"/>
      <c r="BP717" s="147"/>
      <c r="BQ717" s="147"/>
      <c r="BR717" s="147"/>
      <c r="BS717" s="147"/>
      <c r="BT717" s="147"/>
      <c r="BU717" s="147"/>
      <c r="BV717" s="147"/>
      <c r="BW717" s="147"/>
      <c r="BX717" s="147"/>
      <c r="BY717" s="147"/>
      <c r="BZ717" s="147"/>
      <c r="CA717" s="147"/>
      <c r="CB717" s="147"/>
      <c r="CC717" s="147"/>
      <c r="CD717" s="147"/>
      <c r="CE717" s="147"/>
      <c r="CF717" s="147"/>
      <c r="CG717" s="147"/>
      <c r="CH717" s="147"/>
      <c r="CI717" s="147"/>
      <c r="CJ717" s="147"/>
      <c r="CK717" s="147"/>
    </row>
    <row r="718" spans="1:89">
      <c r="A718" s="147"/>
      <c r="B718" s="147"/>
      <c r="C718" s="147"/>
      <c r="D718" s="147"/>
      <c r="E718" s="147"/>
      <c r="F718" s="147"/>
      <c r="G718" s="147"/>
      <c r="H718" s="147"/>
      <c r="I718" s="147"/>
      <c r="J718" s="147"/>
      <c r="K718" s="147"/>
      <c r="L718" s="147"/>
      <c r="M718" s="147"/>
      <c r="N718" s="147"/>
      <c r="O718" s="158"/>
      <c r="P718" s="147"/>
      <c r="Q718" s="147"/>
      <c r="R718" s="147"/>
      <c r="S718" s="147"/>
      <c r="T718" s="147"/>
      <c r="U718" s="147"/>
      <c r="V718" s="147"/>
      <c r="W718" s="147"/>
      <c r="X718" s="147"/>
      <c r="Y718" s="147"/>
      <c r="Z718" s="147"/>
      <c r="AA718" s="147"/>
      <c r="AB718" s="147"/>
      <c r="AC718" s="147"/>
      <c r="AD718" s="147"/>
      <c r="AE718" s="147"/>
      <c r="AF718" s="147"/>
      <c r="AG718" s="147"/>
      <c r="AH718" s="147"/>
      <c r="AI718" s="147"/>
      <c r="AJ718" s="147"/>
      <c r="AK718" s="147"/>
      <c r="AL718" s="147"/>
      <c r="AM718" s="147"/>
      <c r="AN718" s="147"/>
      <c r="AO718" s="147"/>
      <c r="AP718" s="147"/>
      <c r="AQ718" s="147"/>
      <c r="AR718" s="147"/>
      <c r="AS718" s="147"/>
      <c r="AT718" s="147"/>
      <c r="AU718" s="147"/>
      <c r="AV718" s="147"/>
      <c r="AW718" s="147"/>
      <c r="AX718" s="147"/>
      <c r="AY718" s="147"/>
      <c r="AZ718" s="147"/>
      <c r="BA718" s="147"/>
      <c r="BB718" s="147"/>
      <c r="BC718" s="147"/>
      <c r="BD718" s="147"/>
      <c r="BE718" s="147"/>
      <c r="BF718" s="147"/>
      <c r="BG718" s="147"/>
      <c r="BH718" s="147"/>
      <c r="BI718" s="147"/>
      <c r="BJ718" s="147"/>
      <c r="BK718" s="147"/>
      <c r="BL718" s="147"/>
      <c r="BM718" s="147"/>
      <c r="BN718" s="147"/>
      <c r="BO718" s="147"/>
      <c r="BP718" s="147"/>
      <c r="BQ718" s="147"/>
      <c r="BR718" s="147"/>
      <c r="BS718" s="147"/>
      <c r="BT718" s="147"/>
      <c r="BU718" s="147"/>
      <c r="BV718" s="147"/>
      <c r="BW718" s="147"/>
      <c r="BX718" s="147"/>
      <c r="BY718" s="147"/>
      <c r="BZ718" s="147"/>
      <c r="CA718" s="147"/>
      <c r="CB718" s="147"/>
      <c r="CC718" s="147"/>
      <c r="CD718" s="147"/>
      <c r="CE718" s="147"/>
      <c r="CF718" s="147"/>
      <c r="CG718" s="147"/>
      <c r="CH718" s="147"/>
      <c r="CI718" s="147"/>
      <c r="CJ718" s="147"/>
      <c r="CK718" s="147"/>
    </row>
    <row r="719" spans="1:89">
      <c r="A719" s="147"/>
      <c r="B719" s="147"/>
      <c r="C719" s="147"/>
      <c r="D719" s="147"/>
      <c r="E719" s="147"/>
      <c r="F719" s="147"/>
      <c r="G719" s="147"/>
      <c r="H719" s="147"/>
      <c r="I719" s="147"/>
      <c r="J719" s="147"/>
      <c r="K719" s="147"/>
      <c r="L719" s="147"/>
      <c r="M719" s="147"/>
      <c r="N719" s="147"/>
      <c r="O719" s="158"/>
      <c r="P719" s="147"/>
      <c r="Q719" s="147"/>
      <c r="R719" s="147"/>
      <c r="S719" s="147"/>
      <c r="T719" s="147"/>
      <c r="U719" s="147"/>
      <c r="V719" s="147"/>
      <c r="W719" s="147"/>
      <c r="X719" s="147"/>
      <c r="Y719" s="147"/>
      <c r="Z719" s="147"/>
      <c r="AA719" s="147"/>
      <c r="AB719" s="147"/>
      <c r="AC719" s="147"/>
      <c r="AD719" s="147"/>
      <c r="AE719" s="147"/>
      <c r="AF719" s="147"/>
      <c r="AG719" s="147"/>
      <c r="AH719" s="147"/>
      <c r="AI719" s="147"/>
      <c r="AJ719" s="147"/>
      <c r="AK719" s="147"/>
      <c r="AL719" s="147"/>
      <c r="AM719" s="147"/>
      <c r="AN719" s="147"/>
      <c r="AO719" s="147"/>
      <c r="AP719" s="147"/>
      <c r="AQ719" s="147"/>
      <c r="AR719" s="147"/>
      <c r="AS719" s="147"/>
      <c r="AT719" s="147"/>
      <c r="AU719" s="147"/>
      <c r="AV719" s="147"/>
      <c r="AW719" s="147"/>
      <c r="AX719" s="147"/>
      <c r="AY719" s="147"/>
      <c r="AZ719" s="147"/>
      <c r="BA719" s="147"/>
      <c r="BB719" s="147"/>
      <c r="BC719" s="147"/>
      <c r="BD719" s="147"/>
      <c r="BE719" s="147"/>
      <c r="BF719" s="147"/>
      <c r="BG719" s="147"/>
      <c r="BH719" s="147"/>
      <c r="BI719" s="147"/>
      <c r="BJ719" s="147"/>
      <c r="BK719" s="147"/>
      <c r="BL719" s="147"/>
      <c r="BM719" s="147"/>
      <c r="BN719" s="147"/>
      <c r="BO719" s="147"/>
      <c r="BP719" s="147"/>
      <c r="BQ719" s="147"/>
      <c r="BR719" s="147"/>
      <c r="BS719" s="147"/>
      <c r="BT719" s="147"/>
      <c r="BU719" s="147"/>
      <c r="BV719" s="147"/>
      <c r="BW719" s="147"/>
      <c r="BX719" s="147"/>
      <c r="BY719" s="147"/>
      <c r="BZ719" s="147"/>
      <c r="CA719" s="147"/>
      <c r="CB719" s="147"/>
      <c r="CC719" s="147"/>
      <c r="CD719" s="147"/>
      <c r="CE719" s="147"/>
      <c r="CF719" s="147"/>
      <c r="CG719" s="147"/>
      <c r="CH719" s="147"/>
      <c r="CI719" s="147"/>
      <c r="CJ719" s="147"/>
      <c r="CK719" s="147"/>
    </row>
    <row r="720" spans="1:89">
      <c r="A720" s="147"/>
      <c r="B720" s="147"/>
      <c r="C720" s="147"/>
      <c r="D720" s="147"/>
      <c r="E720" s="147"/>
      <c r="F720" s="147"/>
      <c r="G720" s="147"/>
      <c r="H720" s="147"/>
      <c r="I720" s="147"/>
      <c r="J720" s="147"/>
      <c r="K720" s="147"/>
      <c r="L720" s="147"/>
      <c r="M720" s="147"/>
      <c r="N720" s="147"/>
      <c r="O720" s="158"/>
      <c r="P720" s="147"/>
      <c r="Q720" s="147"/>
      <c r="R720" s="147"/>
      <c r="S720" s="147"/>
      <c r="T720" s="147"/>
      <c r="U720" s="147"/>
      <c r="V720" s="147"/>
      <c r="W720" s="147"/>
      <c r="X720" s="147"/>
      <c r="Y720" s="147"/>
      <c r="Z720" s="147"/>
      <c r="AA720" s="147"/>
      <c r="AB720" s="147"/>
      <c r="AC720" s="147"/>
      <c r="AD720" s="147"/>
      <c r="AE720" s="147"/>
      <c r="AF720" s="147"/>
      <c r="AG720" s="147"/>
      <c r="AH720" s="147"/>
      <c r="AI720" s="147"/>
      <c r="AJ720" s="147"/>
      <c r="AK720" s="147"/>
      <c r="AL720" s="147"/>
      <c r="AM720" s="147"/>
      <c r="AN720" s="147"/>
      <c r="AO720" s="147"/>
      <c r="AP720" s="147"/>
      <c r="AQ720" s="147"/>
      <c r="AR720" s="147"/>
      <c r="AS720" s="147"/>
      <c r="AT720" s="147"/>
      <c r="AU720" s="147"/>
      <c r="AV720" s="147"/>
      <c r="AW720" s="147"/>
      <c r="AX720" s="147"/>
      <c r="AY720" s="147"/>
      <c r="AZ720" s="147"/>
      <c r="BA720" s="147"/>
      <c r="BB720" s="147"/>
      <c r="BC720" s="147"/>
      <c r="BD720" s="147"/>
      <c r="BE720" s="147"/>
      <c r="BF720" s="147"/>
      <c r="BG720" s="147"/>
      <c r="BH720" s="147"/>
      <c r="BI720" s="147"/>
      <c r="BJ720" s="147"/>
      <c r="BK720" s="147"/>
      <c r="BL720" s="147"/>
      <c r="BM720" s="147"/>
      <c r="BN720" s="147"/>
      <c r="BO720" s="147"/>
      <c r="BP720" s="147"/>
      <c r="BQ720" s="147"/>
      <c r="BR720" s="147"/>
      <c r="BS720" s="147"/>
      <c r="BT720" s="147"/>
      <c r="BU720" s="147"/>
      <c r="BV720" s="147"/>
      <c r="BW720" s="147"/>
      <c r="BX720" s="147"/>
      <c r="BY720" s="147"/>
      <c r="BZ720" s="147"/>
      <c r="CA720" s="147"/>
      <c r="CB720" s="147"/>
      <c r="CC720" s="147"/>
      <c r="CD720" s="147"/>
      <c r="CE720" s="147"/>
      <c r="CF720" s="147"/>
      <c r="CG720" s="147"/>
      <c r="CH720" s="147"/>
      <c r="CI720" s="147"/>
      <c r="CJ720" s="147"/>
      <c r="CK720" s="147"/>
    </row>
    <row r="721" spans="1:89">
      <c r="A721" s="147"/>
      <c r="B721" s="147"/>
      <c r="C721" s="147"/>
      <c r="D721" s="147"/>
      <c r="E721" s="147"/>
      <c r="F721" s="147"/>
      <c r="G721" s="147"/>
      <c r="H721" s="147"/>
      <c r="I721" s="147"/>
      <c r="J721" s="147"/>
      <c r="K721" s="147"/>
      <c r="L721" s="147"/>
      <c r="M721" s="147"/>
      <c r="N721" s="147"/>
      <c r="O721" s="158"/>
      <c r="P721" s="147"/>
      <c r="Q721" s="147"/>
      <c r="R721" s="147"/>
      <c r="S721" s="147"/>
      <c r="T721" s="147"/>
      <c r="U721" s="147"/>
      <c r="V721" s="147"/>
      <c r="W721" s="147"/>
      <c r="X721" s="147"/>
      <c r="Y721" s="147"/>
      <c r="Z721" s="147"/>
      <c r="AA721" s="147"/>
      <c r="AB721" s="147"/>
      <c r="AC721" s="147"/>
      <c r="AD721" s="147"/>
      <c r="AE721" s="147"/>
      <c r="AF721" s="147"/>
      <c r="AG721" s="147"/>
      <c r="AH721" s="147"/>
      <c r="AI721" s="147"/>
      <c r="AJ721" s="147"/>
      <c r="AK721" s="147"/>
      <c r="AL721" s="147"/>
      <c r="AM721" s="147"/>
      <c r="AN721" s="147"/>
      <c r="AO721" s="147"/>
      <c r="AP721" s="147"/>
      <c r="AQ721" s="147"/>
      <c r="AR721" s="147"/>
      <c r="AS721" s="147"/>
      <c r="AT721" s="147"/>
      <c r="AU721" s="147"/>
      <c r="AV721" s="147"/>
      <c r="AW721" s="147"/>
      <c r="AX721" s="147"/>
      <c r="AY721" s="147"/>
      <c r="AZ721" s="147"/>
      <c r="BA721" s="147"/>
      <c r="BB721" s="147"/>
      <c r="BC721" s="147"/>
      <c r="BD721" s="147"/>
      <c r="BE721" s="147"/>
      <c r="BF721" s="147"/>
      <c r="BG721" s="147"/>
      <c r="BH721" s="147"/>
      <c r="BI721" s="147"/>
      <c r="BJ721" s="147"/>
      <c r="BK721" s="147"/>
      <c r="BL721" s="147"/>
      <c r="BM721" s="147"/>
      <c r="BN721" s="147"/>
      <c r="BO721" s="147"/>
      <c r="BP721" s="147"/>
      <c r="BQ721" s="147"/>
      <c r="BR721" s="147"/>
      <c r="BS721" s="147"/>
      <c r="BT721" s="147"/>
      <c r="BU721" s="147"/>
      <c r="BV721" s="147"/>
      <c r="BW721" s="147"/>
      <c r="BX721" s="147"/>
      <c r="BY721" s="147"/>
      <c r="BZ721" s="147"/>
      <c r="CA721" s="147"/>
      <c r="CB721" s="147"/>
      <c r="CC721" s="147"/>
      <c r="CD721" s="147"/>
      <c r="CE721" s="147"/>
      <c r="CF721" s="147"/>
      <c r="CG721" s="147"/>
      <c r="CH721" s="147"/>
      <c r="CI721" s="147"/>
      <c r="CJ721" s="147"/>
      <c r="CK721" s="147"/>
    </row>
    <row r="722" spans="1:89">
      <c r="A722" s="147"/>
      <c r="B722" s="147"/>
      <c r="C722" s="147"/>
      <c r="D722" s="147"/>
      <c r="E722" s="147"/>
      <c r="F722" s="147"/>
      <c r="G722" s="147"/>
      <c r="H722" s="147"/>
      <c r="I722" s="147"/>
      <c r="J722" s="147"/>
      <c r="K722" s="147"/>
      <c r="L722" s="147"/>
      <c r="M722" s="147"/>
      <c r="N722" s="147"/>
      <c r="O722" s="158"/>
      <c r="P722" s="147"/>
      <c r="Q722" s="147"/>
      <c r="R722" s="147"/>
      <c r="S722" s="147"/>
      <c r="T722" s="147"/>
      <c r="U722" s="147"/>
      <c r="V722" s="147"/>
      <c r="W722" s="147"/>
      <c r="X722" s="147"/>
      <c r="Y722" s="147"/>
      <c r="Z722" s="147"/>
      <c r="AA722" s="147"/>
      <c r="AB722" s="147"/>
      <c r="AC722" s="147"/>
      <c r="AD722" s="147"/>
      <c r="AE722" s="147"/>
      <c r="AF722" s="147"/>
      <c r="AG722" s="147"/>
      <c r="AH722" s="147"/>
      <c r="AI722" s="147"/>
      <c r="AJ722" s="147"/>
      <c r="AK722" s="147"/>
      <c r="AL722" s="147"/>
      <c r="AM722" s="147"/>
      <c r="AN722" s="147"/>
      <c r="AO722" s="147"/>
      <c r="AP722" s="147"/>
      <c r="AQ722" s="147"/>
      <c r="AR722" s="147"/>
      <c r="AS722" s="147"/>
      <c r="AT722" s="147"/>
      <c r="AU722" s="147"/>
      <c r="AV722" s="147"/>
      <c r="AW722" s="147"/>
      <c r="AX722" s="147"/>
      <c r="AY722" s="147"/>
      <c r="AZ722" s="147"/>
      <c r="BA722" s="147"/>
      <c r="BB722" s="147"/>
      <c r="BC722" s="147"/>
      <c r="BD722" s="147"/>
      <c r="BE722" s="147"/>
      <c r="BF722" s="147"/>
      <c r="BG722" s="147"/>
      <c r="BH722" s="147"/>
      <c r="BI722" s="147"/>
      <c r="BJ722" s="147"/>
      <c r="BK722" s="147"/>
      <c r="BL722" s="147"/>
      <c r="BM722" s="147"/>
      <c r="BN722" s="147"/>
      <c r="BO722" s="147"/>
      <c r="BP722" s="147"/>
      <c r="BQ722" s="147"/>
      <c r="BR722" s="147"/>
      <c r="BS722" s="147"/>
      <c r="BT722" s="147"/>
      <c r="BU722" s="147"/>
      <c r="BV722" s="147"/>
      <c r="BW722" s="147"/>
      <c r="BX722" s="147"/>
      <c r="BY722" s="147"/>
      <c r="BZ722" s="147"/>
      <c r="CA722" s="147"/>
      <c r="CB722" s="147"/>
      <c r="CC722" s="147"/>
      <c r="CD722" s="147"/>
      <c r="CE722" s="147"/>
      <c r="CF722" s="147"/>
      <c r="CG722" s="147"/>
      <c r="CH722" s="147"/>
      <c r="CI722" s="147"/>
      <c r="CJ722" s="147"/>
      <c r="CK722" s="147"/>
    </row>
    <row r="723" spans="1:89">
      <c r="A723" s="147"/>
      <c r="B723" s="147"/>
      <c r="C723" s="147"/>
      <c r="D723" s="147"/>
      <c r="E723" s="147"/>
      <c r="F723" s="147"/>
      <c r="G723" s="147"/>
      <c r="H723" s="147"/>
      <c r="I723" s="147"/>
      <c r="J723" s="147"/>
      <c r="K723" s="147"/>
      <c r="L723" s="147"/>
      <c r="M723" s="147"/>
      <c r="N723" s="147"/>
      <c r="O723" s="158"/>
      <c r="P723" s="147"/>
      <c r="Q723" s="147"/>
      <c r="R723" s="147"/>
      <c r="S723" s="147"/>
      <c r="T723" s="147"/>
      <c r="U723" s="147"/>
      <c r="V723" s="147"/>
      <c r="W723" s="147"/>
      <c r="X723" s="147"/>
      <c r="Y723" s="147"/>
      <c r="Z723" s="147"/>
      <c r="AA723" s="147"/>
      <c r="AB723" s="147"/>
      <c r="AC723" s="147"/>
      <c r="AD723" s="147"/>
      <c r="AE723" s="147"/>
      <c r="AF723" s="147"/>
      <c r="AG723" s="147"/>
      <c r="AH723" s="147"/>
      <c r="AI723" s="147"/>
      <c r="AJ723" s="147"/>
      <c r="AK723" s="147"/>
      <c r="AL723" s="147"/>
      <c r="AM723" s="147"/>
      <c r="AN723" s="147"/>
      <c r="AO723" s="147"/>
      <c r="AP723" s="147"/>
      <c r="AQ723" s="147"/>
      <c r="AR723" s="147"/>
      <c r="AS723" s="147"/>
      <c r="AT723" s="147"/>
      <c r="AU723" s="147"/>
      <c r="AV723" s="147"/>
      <c r="AW723" s="147"/>
      <c r="AX723" s="147"/>
      <c r="AY723" s="147"/>
      <c r="AZ723" s="147"/>
      <c r="BA723" s="147"/>
      <c r="BB723" s="147"/>
      <c r="BC723" s="147"/>
      <c r="BD723" s="147"/>
      <c r="BE723" s="147"/>
      <c r="BF723" s="147"/>
      <c r="BG723" s="147"/>
      <c r="BH723" s="147"/>
      <c r="BI723" s="147"/>
      <c r="BJ723" s="147"/>
      <c r="BK723" s="147"/>
      <c r="BL723" s="147"/>
      <c r="BM723" s="147"/>
      <c r="BN723" s="147"/>
      <c r="BO723" s="147"/>
      <c r="BP723" s="147"/>
      <c r="BQ723" s="147"/>
      <c r="BR723" s="147"/>
      <c r="BS723" s="147"/>
      <c r="BT723" s="147"/>
      <c r="BU723" s="147"/>
      <c r="BV723" s="147"/>
      <c r="BW723" s="147"/>
      <c r="BX723" s="147"/>
      <c r="BY723" s="147"/>
      <c r="BZ723" s="147"/>
      <c r="CA723" s="147"/>
      <c r="CB723" s="147"/>
      <c r="CC723" s="147"/>
      <c r="CD723" s="147"/>
      <c r="CE723" s="147"/>
      <c r="CF723" s="147"/>
      <c r="CG723" s="147"/>
      <c r="CH723" s="147"/>
      <c r="CI723" s="147"/>
      <c r="CJ723" s="147"/>
      <c r="CK723" s="147"/>
    </row>
    <row r="724" spans="1:89">
      <c r="A724" s="147"/>
      <c r="B724" s="147"/>
      <c r="C724" s="147"/>
      <c r="D724" s="147"/>
      <c r="E724" s="147"/>
      <c r="F724" s="147"/>
      <c r="G724" s="147"/>
      <c r="H724" s="147"/>
      <c r="I724" s="147"/>
      <c r="J724" s="147"/>
      <c r="K724" s="147"/>
      <c r="L724" s="147"/>
      <c r="M724" s="147"/>
      <c r="N724" s="147"/>
      <c r="O724" s="158"/>
      <c r="P724" s="147"/>
      <c r="Q724" s="147"/>
      <c r="R724" s="147"/>
      <c r="S724" s="147"/>
      <c r="T724" s="147"/>
      <c r="U724" s="147"/>
      <c r="V724" s="147"/>
      <c r="W724" s="147"/>
      <c r="X724" s="147"/>
      <c r="Y724" s="147"/>
      <c r="Z724" s="147"/>
      <c r="AA724" s="147"/>
      <c r="AB724" s="147"/>
      <c r="AC724" s="147"/>
      <c r="AD724" s="147"/>
      <c r="AE724" s="147"/>
      <c r="AF724" s="147"/>
      <c r="AG724" s="147"/>
      <c r="AH724" s="147"/>
      <c r="AI724" s="147"/>
      <c r="AJ724" s="147"/>
      <c r="AK724" s="147"/>
      <c r="AL724" s="147"/>
      <c r="AM724" s="147"/>
      <c r="AN724" s="147"/>
      <c r="AO724" s="147"/>
      <c r="AP724" s="147"/>
      <c r="AQ724" s="147"/>
      <c r="AR724" s="147"/>
      <c r="AS724" s="147"/>
      <c r="AT724" s="147"/>
      <c r="AU724" s="147"/>
      <c r="AV724" s="147"/>
      <c r="AW724" s="147"/>
      <c r="AX724" s="147"/>
      <c r="AY724" s="147"/>
      <c r="AZ724" s="147"/>
      <c r="BA724" s="147"/>
      <c r="BB724" s="147"/>
      <c r="BC724" s="147"/>
      <c r="BD724" s="147"/>
      <c r="BE724" s="147"/>
      <c r="BF724" s="147"/>
      <c r="BG724" s="147"/>
      <c r="BH724" s="147"/>
      <c r="BI724" s="147"/>
      <c r="BJ724" s="147"/>
      <c r="BK724" s="147"/>
      <c r="BL724" s="147"/>
      <c r="BM724" s="147"/>
      <c r="BN724" s="147"/>
      <c r="BO724" s="147"/>
      <c r="BP724" s="147"/>
      <c r="BQ724" s="147"/>
      <c r="BR724" s="147"/>
      <c r="BS724" s="147"/>
      <c r="BT724" s="147"/>
      <c r="BU724" s="147"/>
      <c r="BV724" s="147"/>
      <c r="BW724" s="147"/>
      <c r="BX724" s="147"/>
      <c r="BY724" s="147"/>
      <c r="BZ724" s="147"/>
      <c r="CA724" s="147"/>
      <c r="CB724" s="147"/>
      <c r="CC724" s="147"/>
      <c r="CD724" s="147"/>
      <c r="CE724" s="147"/>
      <c r="CF724" s="147"/>
      <c r="CG724" s="147"/>
      <c r="CH724" s="147"/>
      <c r="CI724" s="147"/>
      <c r="CJ724" s="147"/>
      <c r="CK724" s="147"/>
    </row>
    <row r="725" spans="1:89">
      <c r="A725" s="147"/>
      <c r="B725" s="147"/>
      <c r="C725" s="147"/>
      <c r="D725" s="147"/>
      <c r="E725" s="147"/>
      <c r="F725" s="147"/>
      <c r="G725" s="147"/>
      <c r="H725" s="147"/>
      <c r="I725" s="147"/>
      <c r="J725" s="147"/>
      <c r="K725" s="147"/>
      <c r="L725" s="147"/>
      <c r="M725" s="147"/>
      <c r="N725" s="147"/>
      <c r="O725" s="158"/>
      <c r="P725" s="147"/>
      <c r="Q725" s="147"/>
      <c r="R725" s="147"/>
      <c r="S725" s="147"/>
      <c r="T725" s="147"/>
      <c r="U725" s="147"/>
      <c r="V725" s="147"/>
      <c r="W725" s="147"/>
      <c r="X725" s="147"/>
      <c r="Y725" s="147"/>
      <c r="Z725" s="147"/>
      <c r="AA725" s="147"/>
      <c r="AB725" s="147"/>
      <c r="AC725" s="147"/>
      <c r="AD725" s="147"/>
      <c r="AE725" s="147"/>
      <c r="AF725" s="147"/>
      <c r="AG725" s="147"/>
      <c r="AH725" s="147"/>
      <c r="AI725" s="147"/>
      <c r="AJ725" s="147"/>
      <c r="AK725" s="147"/>
      <c r="AL725" s="147"/>
      <c r="AM725" s="147"/>
      <c r="AN725" s="147"/>
      <c r="AO725" s="147"/>
      <c r="AP725" s="147"/>
      <c r="AQ725" s="147"/>
      <c r="AR725" s="147"/>
      <c r="AS725" s="147"/>
      <c r="AT725" s="147"/>
      <c r="AU725" s="147"/>
      <c r="AV725" s="147"/>
      <c r="AW725" s="147"/>
      <c r="AX725" s="147"/>
      <c r="AY725" s="147"/>
      <c r="AZ725" s="147"/>
      <c r="BA725" s="147"/>
      <c r="BB725" s="147"/>
      <c r="BC725" s="147"/>
      <c r="BD725" s="147"/>
      <c r="BE725" s="147"/>
      <c r="BF725" s="147"/>
      <c r="BG725" s="147"/>
      <c r="BH725" s="147"/>
      <c r="BI725" s="147"/>
      <c r="BJ725" s="147"/>
      <c r="BK725" s="147"/>
      <c r="BL725" s="147"/>
      <c r="BM725" s="147"/>
      <c r="BN725" s="147"/>
      <c r="BO725" s="147"/>
      <c r="BP725" s="147"/>
      <c r="BQ725" s="147"/>
      <c r="BR725" s="147"/>
      <c r="BS725" s="147"/>
      <c r="BT725" s="147"/>
      <c r="BU725" s="147"/>
      <c r="BV725" s="147"/>
      <c r="BW725" s="147"/>
      <c r="BX725" s="147"/>
      <c r="BY725" s="147"/>
      <c r="BZ725" s="147"/>
      <c r="CA725" s="147"/>
      <c r="CB725" s="147"/>
      <c r="CC725" s="147"/>
      <c r="CD725" s="147"/>
      <c r="CE725" s="147"/>
      <c r="CF725" s="147"/>
      <c r="CG725" s="147"/>
      <c r="CH725" s="147"/>
      <c r="CI725" s="147"/>
      <c r="CJ725" s="147"/>
      <c r="CK725" s="147"/>
    </row>
    <row r="726" spans="1:89">
      <c r="A726" s="147"/>
      <c r="B726" s="147"/>
      <c r="C726" s="147"/>
      <c r="D726" s="147"/>
      <c r="E726" s="147"/>
      <c r="F726" s="147"/>
      <c r="G726" s="147"/>
      <c r="H726" s="147"/>
      <c r="I726" s="147"/>
      <c r="J726" s="147"/>
      <c r="K726" s="147"/>
      <c r="L726" s="147"/>
      <c r="M726" s="147"/>
      <c r="N726" s="147"/>
      <c r="O726" s="158"/>
      <c r="P726" s="147"/>
      <c r="Q726" s="147"/>
      <c r="R726" s="147"/>
      <c r="S726" s="147"/>
      <c r="T726" s="147"/>
      <c r="U726" s="147"/>
      <c r="V726" s="147"/>
      <c r="W726" s="147"/>
      <c r="X726" s="147"/>
      <c r="Y726" s="147"/>
      <c r="Z726" s="147"/>
      <c r="AA726" s="147"/>
      <c r="AB726" s="147"/>
      <c r="AC726" s="147"/>
      <c r="AD726" s="147"/>
      <c r="AE726" s="147"/>
      <c r="AF726" s="147"/>
      <c r="AG726" s="147"/>
      <c r="AH726" s="147"/>
      <c r="AI726" s="147"/>
      <c r="AJ726" s="147"/>
      <c r="AK726" s="147"/>
      <c r="AL726" s="147"/>
      <c r="AM726" s="147"/>
      <c r="AN726" s="147"/>
      <c r="AO726" s="147"/>
      <c r="AP726" s="147"/>
      <c r="AQ726" s="147"/>
      <c r="AR726" s="147"/>
      <c r="AS726" s="147"/>
      <c r="AT726" s="147"/>
      <c r="AU726" s="147"/>
      <c r="AV726" s="147"/>
      <c r="AW726" s="147"/>
      <c r="AX726" s="147"/>
      <c r="AY726" s="147"/>
      <c r="AZ726" s="147"/>
      <c r="BA726" s="147"/>
      <c r="BB726" s="147"/>
      <c r="BC726" s="147"/>
      <c r="BD726" s="147"/>
      <c r="BE726" s="147"/>
      <c r="BF726" s="147"/>
      <c r="BG726" s="147"/>
      <c r="BH726" s="147"/>
      <c r="BI726" s="147"/>
      <c r="BJ726" s="147"/>
      <c r="BK726" s="147"/>
      <c r="BL726" s="147"/>
      <c r="BM726" s="147"/>
      <c r="BN726" s="147"/>
      <c r="BO726" s="147"/>
      <c r="BP726" s="147"/>
      <c r="BQ726" s="147"/>
      <c r="BR726" s="147"/>
      <c r="BS726" s="147"/>
      <c r="BT726" s="147"/>
      <c r="BU726" s="147"/>
      <c r="BV726" s="147"/>
      <c r="BW726" s="147"/>
      <c r="BX726" s="147"/>
      <c r="BY726" s="147"/>
      <c r="BZ726" s="147"/>
      <c r="CA726" s="147"/>
      <c r="CB726" s="147"/>
      <c r="CC726" s="147"/>
      <c r="CD726" s="147"/>
      <c r="CE726" s="147"/>
      <c r="CF726" s="147"/>
      <c r="CG726" s="147"/>
      <c r="CH726" s="147"/>
      <c r="CI726" s="147"/>
      <c r="CJ726" s="147"/>
      <c r="CK726" s="147"/>
    </row>
    <row r="727" spans="1:89">
      <c r="A727" s="147"/>
      <c r="B727" s="147"/>
      <c r="C727" s="147"/>
      <c r="D727" s="147"/>
      <c r="E727" s="147"/>
      <c r="F727" s="147"/>
      <c r="G727" s="147"/>
      <c r="H727" s="147"/>
      <c r="I727" s="147"/>
      <c r="J727" s="147"/>
      <c r="K727" s="147"/>
      <c r="L727" s="147"/>
      <c r="M727" s="147"/>
      <c r="N727" s="147"/>
      <c r="O727" s="158"/>
      <c r="P727" s="147"/>
      <c r="Q727" s="147"/>
      <c r="R727" s="147"/>
      <c r="S727" s="147"/>
      <c r="T727" s="147"/>
      <c r="U727" s="147"/>
      <c r="V727" s="147"/>
      <c r="W727" s="147"/>
      <c r="X727" s="147"/>
      <c r="Y727" s="147"/>
      <c r="Z727" s="147"/>
      <c r="AA727" s="147"/>
      <c r="AB727" s="147"/>
      <c r="AC727" s="147"/>
      <c r="AD727" s="147"/>
      <c r="AE727" s="147"/>
      <c r="AF727" s="147"/>
      <c r="AG727" s="147"/>
      <c r="AH727" s="147"/>
      <c r="AI727" s="147"/>
      <c r="AJ727" s="147"/>
      <c r="AK727" s="147"/>
      <c r="AL727" s="147"/>
      <c r="AM727" s="147"/>
      <c r="AN727" s="147"/>
      <c r="AO727" s="147"/>
      <c r="AP727" s="147"/>
      <c r="AQ727" s="147"/>
      <c r="AR727" s="147"/>
      <c r="AS727" s="147"/>
      <c r="AT727" s="147"/>
      <c r="AU727" s="147"/>
      <c r="AV727" s="147"/>
      <c r="AW727" s="147"/>
      <c r="AX727" s="147"/>
      <c r="AY727" s="147"/>
      <c r="AZ727" s="147"/>
      <c r="BA727" s="147"/>
      <c r="BB727" s="147"/>
      <c r="BC727" s="147"/>
      <c r="BD727" s="147"/>
      <c r="BE727" s="147"/>
      <c r="BF727" s="147"/>
      <c r="BG727" s="147"/>
      <c r="BH727" s="147"/>
      <c r="BI727" s="147"/>
      <c r="BJ727" s="147"/>
      <c r="BK727" s="147"/>
      <c r="BL727" s="147"/>
      <c r="BM727" s="147"/>
      <c r="BN727" s="147"/>
      <c r="BO727" s="147"/>
      <c r="BP727" s="147"/>
      <c r="BQ727" s="147"/>
      <c r="BR727" s="147"/>
      <c r="BS727" s="147"/>
      <c r="BT727" s="147"/>
      <c r="BU727" s="147"/>
      <c r="BV727" s="147"/>
      <c r="BW727" s="147"/>
      <c r="BX727" s="147"/>
      <c r="BY727" s="147"/>
      <c r="BZ727" s="147"/>
      <c r="CA727" s="147"/>
      <c r="CB727" s="147"/>
      <c r="CC727" s="147"/>
      <c r="CD727" s="147"/>
      <c r="CE727" s="147"/>
      <c r="CF727" s="147"/>
      <c r="CG727" s="147"/>
      <c r="CH727" s="147"/>
      <c r="CI727" s="147"/>
      <c r="CJ727" s="147"/>
      <c r="CK727" s="147"/>
    </row>
    <row r="728" spans="1:89">
      <c r="A728" s="147"/>
      <c r="B728" s="147"/>
      <c r="C728" s="147"/>
      <c r="D728" s="147"/>
      <c r="E728" s="147"/>
      <c r="F728" s="147"/>
      <c r="G728" s="147"/>
      <c r="H728" s="147"/>
      <c r="I728" s="147"/>
      <c r="J728" s="147"/>
      <c r="K728" s="147"/>
      <c r="L728" s="147"/>
      <c r="M728" s="147"/>
      <c r="N728" s="147"/>
      <c r="O728" s="158"/>
      <c r="P728" s="147"/>
      <c r="Q728" s="147"/>
      <c r="R728" s="147"/>
      <c r="S728" s="147"/>
      <c r="T728" s="147"/>
      <c r="U728" s="147"/>
      <c r="V728" s="147"/>
      <c r="W728" s="147"/>
      <c r="X728" s="147"/>
      <c r="Y728" s="147"/>
      <c r="Z728" s="147"/>
      <c r="AA728" s="147"/>
      <c r="AB728" s="147"/>
      <c r="AC728" s="147"/>
      <c r="AD728" s="147"/>
      <c r="AE728" s="147"/>
      <c r="AF728" s="147"/>
      <c r="AG728" s="147"/>
      <c r="AH728" s="147"/>
      <c r="AI728" s="147"/>
      <c r="AJ728" s="147"/>
      <c r="AK728" s="147"/>
      <c r="AL728" s="147"/>
      <c r="AM728" s="147"/>
      <c r="AN728" s="147"/>
      <c r="AO728" s="147"/>
      <c r="AP728" s="147"/>
      <c r="AQ728" s="147"/>
      <c r="AR728" s="147"/>
      <c r="AS728" s="147"/>
      <c r="AT728" s="147"/>
      <c r="AU728" s="147"/>
      <c r="AV728" s="147"/>
      <c r="AW728" s="147"/>
      <c r="AX728" s="147"/>
      <c r="AY728" s="147"/>
      <c r="AZ728" s="147"/>
      <c r="BA728" s="147"/>
      <c r="BB728" s="147"/>
      <c r="BC728" s="147"/>
      <c r="BD728" s="147"/>
      <c r="BE728" s="147"/>
      <c r="BF728" s="147"/>
      <c r="BG728" s="147"/>
      <c r="BH728" s="147"/>
      <c r="BI728" s="147"/>
      <c r="BJ728" s="147"/>
      <c r="BK728" s="147"/>
      <c r="BL728" s="147"/>
      <c r="BM728" s="147"/>
      <c r="BN728" s="147"/>
      <c r="BO728" s="147"/>
      <c r="BP728" s="147"/>
      <c r="BQ728" s="147"/>
      <c r="BR728" s="147"/>
      <c r="BS728" s="147"/>
      <c r="BT728" s="147"/>
      <c r="BU728" s="147"/>
      <c r="BV728" s="147"/>
      <c r="BW728" s="147"/>
      <c r="BX728" s="147"/>
      <c r="BY728" s="147"/>
      <c r="BZ728" s="147"/>
      <c r="CA728" s="147"/>
      <c r="CB728" s="147"/>
      <c r="CC728" s="147"/>
      <c r="CD728" s="147"/>
      <c r="CE728" s="147"/>
      <c r="CF728" s="147"/>
      <c r="CG728" s="147"/>
      <c r="CH728" s="147"/>
      <c r="CI728" s="147"/>
      <c r="CJ728" s="147"/>
      <c r="CK728" s="147"/>
    </row>
    <row r="729" spans="1:89">
      <c r="A729" s="147"/>
      <c r="B729" s="147"/>
      <c r="C729" s="147"/>
      <c r="D729" s="147"/>
      <c r="E729" s="147"/>
      <c r="F729" s="147"/>
      <c r="G729" s="147"/>
      <c r="H729" s="147"/>
      <c r="I729" s="147"/>
      <c r="J729" s="147"/>
      <c r="K729" s="147"/>
      <c r="L729" s="147"/>
      <c r="M729" s="147"/>
      <c r="N729" s="147"/>
      <c r="O729" s="158"/>
      <c r="P729" s="147"/>
      <c r="Q729" s="147"/>
      <c r="R729" s="147"/>
      <c r="S729" s="147"/>
      <c r="T729" s="147"/>
      <c r="U729" s="147"/>
      <c r="V729" s="147"/>
      <c r="W729" s="147"/>
      <c r="X729" s="147"/>
      <c r="Y729" s="147"/>
      <c r="Z729" s="147"/>
      <c r="AA729" s="147"/>
      <c r="AB729" s="147"/>
      <c r="AC729" s="147"/>
      <c r="AD729" s="147"/>
      <c r="AE729" s="147"/>
      <c r="AF729" s="147"/>
      <c r="AG729" s="147"/>
      <c r="AH729" s="147"/>
      <c r="AI729" s="147"/>
      <c r="AJ729" s="147"/>
      <c r="AK729" s="147"/>
      <c r="AL729" s="147"/>
      <c r="AM729" s="147"/>
      <c r="AN729" s="147"/>
      <c r="AO729" s="147"/>
      <c r="AP729" s="147"/>
      <c r="AQ729" s="147"/>
      <c r="AR729" s="147"/>
      <c r="AS729" s="147"/>
      <c r="AT729" s="147"/>
      <c r="AU729" s="147"/>
      <c r="AV729" s="147"/>
      <c r="AW729" s="147"/>
      <c r="AX729" s="147"/>
      <c r="AY729" s="147"/>
      <c r="AZ729" s="147"/>
      <c r="BA729" s="147"/>
      <c r="BB729" s="147"/>
      <c r="BC729" s="147"/>
      <c r="BD729" s="147"/>
      <c r="BE729" s="147"/>
      <c r="BF729" s="147"/>
      <c r="BG729" s="147"/>
      <c r="BH729" s="147"/>
      <c r="BI729" s="147"/>
      <c r="BJ729" s="147"/>
      <c r="BK729" s="147"/>
      <c r="BL729" s="147"/>
      <c r="BM729" s="147"/>
      <c r="BN729" s="147"/>
      <c r="BO729" s="147"/>
      <c r="BP729" s="147"/>
      <c r="BQ729" s="147"/>
      <c r="BR729" s="147"/>
      <c r="BS729" s="147"/>
      <c r="BT729" s="147"/>
      <c r="BU729" s="147"/>
      <c r="BV729" s="147"/>
      <c r="BW729" s="147"/>
      <c r="BX729" s="147"/>
      <c r="BY729" s="147"/>
      <c r="BZ729" s="147"/>
      <c r="CA729" s="147"/>
      <c r="CB729" s="147"/>
      <c r="CC729" s="147"/>
      <c r="CD729" s="147"/>
      <c r="CE729" s="147"/>
      <c r="CF729" s="147"/>
      <c r="CG729" s="147"/>
      <c r="CH729" s="147"/>
      <c r="CI729" s="147"/>
      <c r="CJ729" s="147"/>
      <c r="CK729" s="147"/>
    </row>
    <row r="730" spans="1:89">
      <c r="A730" s="147"/>
      <c r="B730" s="147"/>
      <c r="C730" s="147"/>
      <c r="D730" s="147"/>
      <c r="E730" s="147"/>
      <c r="F730" s="147"/>
      <c r="G730" s="147"/>
      <c r="H730" s="147"/>
      <c r="I730" s="147"/>
      <c r="J730" s="147"/>
      <c r="K730" s="147"/>
      <c r="L730" s="147"/>
      <c r="M730" s="147"/>
      <c r="N730" s="147"/>
      <c r="O730" s="158"/>
      <c r="P730" s="147"/>
      <c r="Q730" s="147"/>
      <c r="R730" s="147"/>
      <c r="S730" s="147"/>
      <c r="T730" s="147"/>
      <c r="U730" s="147"/>
      <c r="V730" s="147"/>
      <c r="W730" s="147"/>
      <c r="X730" s="147"/>
      <c r="Y730" s="147"/>
      <c r="Z730" s="147"/>
      <c r="AA730" s="147"/>
      <c r="AB730" s="147"/>
      <c r="AC730" s="147"/>
      <c r="AD730" s="147"/>
      <c r="AE730" s="147"/>
      <c r="AF730" s="147"/>
      <c r="AG730" s="147"/>
      <c r="AH730" s="147"/>
      <c r="AI730" s="147"/>
      <c r="AJ730" s="147"/>
      <c r="AK730" s="147"/>
      <c r="AL730" s="147"/>
      <c r="AM730" s="147"/>
      <c r="AN730" s="147"/>
      <c r="AO730" s="147"/>
      <c r="AP730" s="147"/>
      <c r="AQ730" s="147"/>
      <c r="AR730" s="147"/>
      <c r="AS730" s="147"/>
      <c r="AT730" s="147"/>
      <c r="AU730" s="147"/>
      <c r="AV730" s="147"/>
      <c r="AW730" s="147"/>
      <c r="AX730" s="147"/>
      <c r="AY730" s="147"/>
      <c r="AZ730" s="147"/>
      <c r="BA730" s="147"/>
      <c r="BB730" s="147"/>
      <c r="BC730" s="147"/>
      <c r="BD730" s="147"/>
      <c r="BE730" s="147"/>
      <c r="BF730" s="147"/>
      <c r="BG730" s="147"/>
      <c r="BH730" s="147"/>
      <c r="BI730" s="147"/>
      <c r="BJ730" s="147"/>
      <c r="BK730" s="147"/>
      <c r="BL730" s="147"/>
      <c r="BM730" s="147"/>
      <c r="BN730" s="147"/>
      <c r="BO730" s="147"/>
      <c r="BP730" s="147"/>
      <c r="BQ730" s="147"/>
      <c r="BR730" s="147"/>
      <c r="BS730" s="147"/>
      <c r="BT730" s="147"/>
      <c r="BU730" s="147"/>
      <c r="BV730" s="147"/>
      <c r="BW730" s="147"/>
      <c r="BX730" s="147"/>
      <c r="BY730" s="147"/>
      <c r="BZ730" s="147"/>
      <c r="CA730" s="147"/>
      <c r="CB730" s="147"/>
      <c r="CC730" s="147"/>
      <c r="CD730" s="147"/>
      <c r="CE730" s="147"/>
      <c r="CF730" s="147"/>
      <c r="CG730" s="147"/>
      <c r="CH730" s="147"/>
      <c r="CI730" s="147"/>
      <c r="CJ730" s="147"/>
      <c r="CK730" s="147"/>
    </row>
    <row r="731" spans="1:89">
      <c r="A731" s="147"/>
      <c r="B731" s="147"/>
      <c r="C731" s="147"/>
      <c r="D731" s="147"/>
      <c r="E731" s="147"/>
      <c r="F731" s="147"/>
      <c r="G731" s="147"/>
      <c r="H731" s="147"/>
      <c r="I731" s="147"/>
      <c r="J731" s="147"/>
      <c r="K731" s="147"/>
      <c r="L731" s="147"/>
      <c r="M731" s="147"/>
      <c r="N731" s="147"/>
      <c r="O731" s="158"/>
      <c r="P731" s="147"/>
      <c r="Q731" s="147"/>
      <c r="R731" s="147"/>
      <c r="S731" s="147"/>
      <c r="T731" s="147"/>
      <c r="U731" s="147"/>
      <c r="V731" s="147"/>
      <c r="W731" s="147"/>
      <c r="X731" s="147"/>
      <c r="Y731" s="147"/>
      <c r="Z731" s="147"/>
      <c r="AA731" s="147"/>
      <c r="AB731" s="147"/>
      <c r="AC731" s="147"/>
      <c r="AD731" s="147"/>
      <c r="AE731" s="147"/>
      <c r="AF731" s="147"/>
      <c r="AG731" s="147"/>
      <c r="AH731" s="147"/>
      <c r="AI731" s="147"/>
      <c r="AJ731" s="147"/>
      <c r="AK731" s="147"/>
      <c r="AL731" s="147"/>
      <c r="AM731" s="147"/>
      <c r="AN731" s="147"/>
      <c r="AO731" s="147"/>
      <c r="AP731" s="147"/>
      <c r="AQ731" s="147"/>
      <c r="AR731" s="147"/>
      <c r="AS731" s="147"/>
      <c r="AT731" s="147"/>
      <c r="AU731" s="147"/>
      <c r="AV731" s="147"/>
      <c r="AW731" s="147"/>
      <c r="AX731" s="147"/>
      <c r="AY731" s="147"/>
      <c r="AZ731" s="147"/>
      <c r="BA731" s="147"/>
      <c r="BB731" s="147"/>
      <c r="BC731" s="147"/>
      <c r="BD731" s="147"/>
      <c r="BE731" s="147"/>
      <c r="BF731" s="147"/>
      <c r="BG731" s="147"/>
      <c r="BH731" s="147"/>
      <c r="BI731" s="147"/>
      <c r="BJ731" s="147"/>
      <c r="BK731" s="147"/>
      <c r="BL731" s="147"/>
      <c r="BM731" s="147"/>
      <c r="BN731" s="147"/>
      <c r="BO731" s="147"/>
      <c r="BP731" s="147"/>
      <c r="BQ731" s="147"/>
      <c r="BR731" s="147"/>
      <c r="BS731" s="147"/>
      <c r="BT731" s="147"/>
      <c r="BU731" s="147"/>
      <c r="BV731" s="147"/>
      <c r="BW731" s="147"/>
      <c r="BX731" s="147"/>
      <c r="BY731" s="147"/>
      <c r="BZ731" s="147"/>
      <c r="CA731" s="147"/>
      <c r="CB731" s="147"/>
      <c r="CC731" s="147"/>
      <c r="CD731" s="147"/>
      <c r="CE731" s="147"/>
      <c r="CF731" s="147"/>
      <c r="CG731" s="147"/>
      <c r="CH731" s="147"/>
      <c r="CI731" s="147"/>
      <c r="CJ731" s="147"/>
      <c r="CK731" s="147"/>
    </row>
    <row r="732" spans="1:89">
      <c r="A732" s="147"/>
      <c r="B732" s="147"/>
      <c r="C732" s="147"/>
      <c r="D732" s="147"/>
      <c r="E732" s="147"/>
      <c r="F732" s="147"/>
      <c r="G732" s="147"/>
      <c r="H732" s="147"/>
      <c r="I732" s="147"/>
      <c r="J732" s="147"/>
      <c r="K732" s="147"/>
      <c r="L732" s="147"/>
      <c r="M732" s="147"/>
      <c r="N732" s="147"/>
      <c r="O732" s="158"/>
      <c r="P732" s="147"/>
      <c r="Q732" s="147"/>
      <c r="R732" s="147"/>
      <c r="S732" s="147"/>
      <c r="T732" s="147"/>
      <c r="U732" s="147"/>
      <c r="V732" s="147"/>
      <c r="W732" s="147"/>
      <c r="X732" s="147"/>
      <c r="Y732" s="147"/>
      <c r="Z732" s="147"/>
      <c r="AA732" s="147"/>
      <c r="AB732" s="147"/>
      <c r="AC732" s="147"/>
      <c r="AD732" s="147"/>
      <c r="AE732" s="147"/>
      <c r="AF732" s="147"/>
      <c r="AG732" s="147"/>
      <c r="AH732" s="147"/>
      <c r="AI732" s="147"/>
      <c r="AJ732" s="147"/>
      <c r="AK732" s="147"/>
      <c r="AL732" s="147"/>
      <c r="AM732" s="147"/>
      <c r="AN732" s="147"/>
      <c r="AO732" s="147"/>
      <c r="AP732" s="147"/>
      <c r="AQ732" s="147"/>
      <c r="AR732" s="147"/>
      <c r="AS732" s="147"/>
      <c r="AT732" s="147"/>
      <c r="AU732" s="147"/>
      <c r="AV732" s="147"/>
      <c r="AW732" s="147"/>
      <c r="AX732" s="147"/>
      <c r="AY732" s="147"/>
      <c r="AZ732" s="147"/>
      <c r="BA732" s="147"/>
      <c r="BB732" s="147"/>
      <c r="BC732" s="147"/>
      <c r="BD732" s="147"/>
      <c r="BE732" s="147"/>
      <c r="BF732" s="147"/>
      <c r="BG732" s="147"/>
      <c r="BH732" s="147"/>
      <c r="BI732" s="147"/>
      <c r="BJ732" s="147"/>
      <c r="BK732" s="147"/>
      <c r="BL732" s="147"/>
      <c r="BM732" s="147"/>
      <c r="BN732" s="147"/>
      <c r="BO732" s="147"/>
      <c r="BP732" s="147"/>
      <c r="BQ732" s="147"/>
      <c r="BR732" s="147"/>
      <c r="BS732" s="147"/>
      <c r="BT732" s="147"/>
      <c r="BU732" s="147"/>
      <c r="BV732" s="147"/>
      <c r="BW732" s="147"/>
      <c r="BX732" s="147"/>
      <c r="BY732" s="147"/>
      <c r="BZ732" s="147"/>
      <c r="CA732" s="147"/>
      <c r="CB732" s="147"/>
      <c r="CC732" s="147"/>
      <c r="CD732" s="147"/>
      <c r="CE732" s="147"/>
      <c r="CF732" s="147"/>
      <c r="CG732" s="147"/>
      <c r="CH732" s="147"/>
      <c r="CI732" s="147"/>
      <c r="CJ732" s="147"/>
      <c r="CK732" s="147"/>
    </row>
    <row r="733" spans="1:89">
      <c r="A733" s="147"/>
      <c r="B733" s="147"/>
      <c r="C733" s="147"/>
      <c r="D733" s="147"/>
      <c r="E733" s="147"/>
      <c r="F733" s="147"/>
      <c r="G733" s="147"/>
      <c r="H733" s="147"/>
      <c r="I733" s="147"/>
      <c r="J733" s="147"/>
      <c r="K733" s="147"/>
      <c r="L733" s="147"/>
      <c r="M733" s="147"/>
      <c r="N733" s="147"/>
      <c r="O733" s="158"/>
      <c r="P733" s="147"/>
      <c r="Q733" s="147"/>
      <c r="R733" s="147"/>
      <c r="S733" s="147"/>
      <c r="T733" s="147"/>
      <c r="U733" s="147"/>
      <c r="V733" s="147"/>
      <c r="W733" s="147"/>
      <c r="X733" s="147"/>
      <c r="Y733" s="147"/>
      <c r="Z733" s="147"/>
      <c r="AA733" s="147"/>
      <c r="AB733" s="147"/>
      <c r="AC733" s="147"/>
      <c r="AD733" s="147"/>
      <c r="AE733" s="147"/>
      <c r="AF733" s="147"/>
      <c r="AG733" s="147"/>
      <c r="AH733" s="147"/>
      <c r="AI733" s="147"/>
      <c r="AJ733" s="147"/>
      <c r="AK733" s="147"/>
      <c r="AL733" s="147"/>
      <c r="AM733" s="147"/>
      <c r="AN733" s="147"/>
      <c r="AO733" s="147"/>
      <c r="AP733" s="147"/>
      <c r="AQ733" s="147"/>
      <c r="AR733" s="147"/>
      <c r="AS733" s="147"/>
      <c r="AT733" s="147"/>
      <c r="AU733" s="147"/>
      <c r="AV733" s="147"/>
      <c r="AW733" s="147"/>
      <c r="AX733" s="147"/>
      <c r="AY733" s="147"/>
      <c r="AZ733" s="147"/>
      <c r="BA733" s="147"/>
      <c r="BB733" s="147"/>
      <c r="BC733" s="147"/>
      <c r="BD733" s="147"/>
      <c r="BE733" s="147"/>
      <c r="BF733" s="147"/>
      <c r="BG733" s="147"/>
      <c r="BH733" s="147"/>
      <c r="BI733" s="147"/>
      <c r="BJ733" s="147"/>
      <c r="BK733" s="147"/>
      <c r="BL733" s="147"/>
      <c r="BM733" s="147"/>
      <c r="BN733" s="147"/>
      <c r="BO733" s="147"/>
      <c r="BP733" s="147"/>
      <c r="BQ733" s="147"/>
      <c r="BR733" s="147"/>
      <c r="BS733" s="147"/>
      <c r="BT733" s="147"/>
      <c r="BU733" s="147"/>
      <c r="BV733" s="147"/>
      <c r="BW733" s="147"/>
      <c r="BX733" s="147"/>
      <c r="BY733" s="147"/>
      <c r="BZ733" s="147"/>
      <c r="CA733" s="147"/>
      <c r="CB733" s="147"/>
      <c r="CC733" s="147"/>
      <c r="CD733" s="147"/>
      <c r="CE733" s="147"/>
      <c r="CF733" s="147"/>
      <c r="CG733" s="147"/>
      <c r="CH733" s="147"/>
      <c r="CI733" s="147"/>
      <c r="CJ733" s="147"/>
      <c r="CK733" s="147"/>
    </row>
    <row r="734" spans="1:89">
      <c r="A734" s="147"/>
      <c r="B734" s="147"/>
      <c r="C734" s="147"/>
      <c r="D734" s="147"/>
      <c r="E734" s="147"/>
      <c r="F734" s="147"/>
      <c r="G734" s="147"/>
      <c r="H734" s="147"/>
      <c r="I734" s="147"/>
      <c r="J734" s="147"/>
      <c r="K734" s="147"/>
      <c r="L734" s="147"/>
      <c r="M734" s="147"/>
      <c r="N734" s="147"/>
      <c r="O734" s="158"/>
      <c r="P734" s="147"/>
      <c r="Q734" s="147"/>
      <c r="R734" s="147"/>
      <c r="S734" s="147"/>
      <c r="T734" s="147"/>
      <c r="U734" s="147"/>
      <c r="V734" s="147"/>
      <c r="W734" s="147"/>
      <c r="X734" s="147"/>
      <c r="Y734" s="147"/>
      <c r="Z734" s="147"/>
      <c r="AA734" s="147"/>
      <c r="AB734" s="147"/>
      <c r="AC734" s="147"/>
      <c r="AD734" s="147"/>
      <c r="AE734" s="147"/>
      <c r="AF734" s="147"/>
      <c r="AG734" s="147"/>
      <c r="AH734" s="147"/>
      <c r="AI734" s="147"/>
      <c r="AJ734" s="147"/>
      <c r="AK734" s="147"/>
      <c r="AL734" s="147"/>
      <c r="AM734" s="147"/>
      <c r="AN734" s="147"/>
      <c r="AO734" s="147"/>
      <c r="AP734" s="147"/>
      <c r="AQ734" s="147"/>
      <c r="AR734" s="147"/>
      <c r="AS734" s="147"/>
      <c r="AT734" s="147"/>
      <c r="AU734" s="147"/>
      <c r="AV734" s="147"/>
      <c r="AW734" s="147"/>
      <c r="AX734" s="147"/>
      <c r="AY734" s="147"/>
      <c r="AZ734" s="147"/>
      <c r="BA734" s="147"/>
      <c r="BB734" s="147"/>
      <c r="BC734" s="147"/>
      <c r="BD734" s="147"/>
      <c r="BE734" s="147"/>
      <c r="BF734" s="147"/>
      <c r="BG734" s="147"/>
      <c r="BH734" s="147"/>
      <c r="BI734" s="147"/>
      <c r="BJ734" s="147"/>
      <c r="BK734" s="147"/>
      <c r="BL734" s="147"/>
      <c r="BM734" s="147"/>
      <c r="BN734" s="147"/>
      <c r="BO734" s="147"/>
      <c r="BP734" s="147"/>
      <c r="BQ734" s="147"/>
      <c r="BR734" s="147"/>
      <c r="BS734" s="147"/>
      <c r="BT734" s="147"/>
      <c r="BU734" s="147"/>
      <c r="BV734" s="147"/>
      <c r="BW734" s="147"/>
      <c r="BX734" s="147"/>
      <c r="BY734" s="147"/>
      <c r="BZ734" s="147"/>
      <c r="CA734" s="147"/>
      <c r="CB734" s="147"/>
      <c r="CC734" s="147"/>
      <c r="CD734" s="147"/>
      <c r="CE734" s="147"/>
      <c r="CF734" s="147"/>
      <c r="CG734" s="147"/>
      <c r="CH734" s="147"/>
      <c r="CI734" s="147"/>
      <c r="CJ734" s="147"/>
      <c r="CK734" s="147"/>
    </row>
    <row r="735" spans="1:89">
      <c r="A735" s="147"/>
      <c r="B735" s="147"/>
      <c r="C735" s="147"/>
      <c r="D735" s="147"/>
      <c r="E735" s="147"/>
      <c r="F735" s="147"/>
      <c r="G735" s="147"/>
      <c r="H735" s="147"/>
      <c r="I735" s="147"/>
      <c r="J735" s="147"/>
      <c r="K735" s="147"/>
      <c r="L735" s="147"/>
      <c r="M735" s="147"/>
      <c r="N735" s="147"/>
      <c r="O735" s="158"/>
      <c r="P735" s="147"/>
      <c r="Q735" s="147"/>
      <c r="R735" s="147"/>
      <c r="S735" s="147"/>
      <c r="T735" s="147"/>
      <c r="U735" s="147"/>
      <c r="V735" s="147"/>
      <c r="W735" s="147"/>
      <c r="X735" s="147"/>
      <c r="Y735" s="147"/>
      <c r="Z735" s="147"/>
      <c r="AA735" s="147"/>
      <c r="AB735" s="147"/>
      <c r="AC735" s="147"/>
      <c r="AD735" s="147"/>
      <c r="AE735" s="147"/>
      <c r="AF735" s="147"/>
      <c r="AG735" s="147"/>
      <c r="AH735" s="147"/>
      <c r="AI735" s="147"/>
      <c r="AJ735" s="147"/>
      <c r="AK735" s="147"/>
      <c r="AL735" s="147"/>
      <c r="AM735" s="147"/>
      <c r="AN735" s="147"/>
      <c r="AO735" s="147"/>
      <c r="AP735" s="147"/>
      <c r="AQ735" s="147"/>
      <c r="AR735" s="147"/>
      <c r="AS735" s="147"/>
      <c r="AT735" s="147"/>
      <c r="AU735" s="147"/>
      <c r="AV735" s="147"/>
      <c r="AW735" s="147"/>
      <c r="AX735" s="147"/>
      <c r="AY735" s="147"/>
      <c r="AZ735" s="147"/>
      <c r="BA735" s="147"/>
      <c r="BB735" s="147"/>
      <c r="BC735" s="147"/>
      <c r="BD735" s="147"/>
      <c r="BE735" s="147"/>
      <c r="BF735" s="147"/>
      <c r="BG735" s="147"/>
      <c r="BH735" s="147"/>
      <c r="BI735" s="147"/>
      <c r="BJ735" s="147"/>
      <c r="BK735" s="147"/>
      <c r="BL735" s="147"/>
      <c r="BM735" s="147"/>
      <c r="BN735" s="147"/>
      <c r="BO735" s="147"/>
      <c r="BP735" s="147"/>
      <c r="BQ735" s="147"/>
      <c r="BR735" s="147"/>
      <c r="BS735" s="147"/>
      <c r="BT735" s="147"/>
      <c r="BU735" s="147"/>
      <c r="BV735" s="147"/>
      <c r="BW735" s="147"/>
      <c r="BX735" s="147"/>
      <c r="BY735" s="147"/>
      <c r="BZ735" s="147"/>
      <c r="CA735" s="147"/>
      <c r="CB735" s="147"/>
      <c r="CC735" s="147"/>
      <c r="CD735" s="147"/>
      <c r="CE735" s="147"/>
      <c r="CF735" s="147"/>
      <c r="CG735" s="147"/>
      <c r="CH735" s="147"/>
      <c r="CI735" s="147"/>
      <c r="CJ735" s="147"/>
      <c r="CK735" s="147"/>
    </row>
    <row r="736" spans="1:89">
      <c r="A736" s="147"/>
      <c r="B736" s="147"/>
      <c r="C736" s="147"/>
      <c r="D736" s="147"/>
      <c r="E736" s="147"/>
      <c r="F736" s="147"/>
      <c r="G736" s="147"/>
      <c r="H736" s="147"/>
      <c r="I736" s="147"/>
      <c r="J736" s="147"/>
      <c r="K736" s="147"/>
      <c r="L736" s="147"/>
      <c r="M736" s="147"/>
      <c r="N736" s="147"/>
      <c r="O736" s="158"/>
      <c r="P736" s="147"/>
      <c r="Q736" s="147"/>
      <c r="R736" s="147"/>
      <c r="S736" s="147"/>
      <c r="T736" s="147"/>
      <c r="U736" s="147"/>
      <c r="V736" s="147"/>
      <c r="W736" s="147"/>
      <c r="X736" s="147"/>
      <c r="Y736" s="147"/>
      <c r="Z736" s="147"/>
      <c r="AA736" s="147"/>
      <c r="AB736" s="147"/>
      <c r="AC736" s="147"/>
      <c r="AD736" s="147"/>
      <c r="AE736" s="147"/>
      <c r="AF736" s="147"/>
      <c r="AG736" s="147"/>
      <c r="AH736" s="147"/>
      <c r="AI736" s="147"/>
      <c r="AJ736" s="147"/>
      <c r="AK736" s="147"/>
      <c r="AL736" s="147"/>
      <c r="AM736" s="147"/>
      <c r="AN736" s="147"/>
      <c r="AO736" s="147"/>
      <c r="AP736" s="147"/>
      <c r="AQ736" s="147"/>
      <c r="AR736" s="147"/>
      <c r="AS736" s="147"/>
      <c r="AT736" s="147"/>
      <c r="AU736" s="147"/>
      <c r="AV736" s="147"/>
      <c r="AW736" s="147"/>
      <c r="AX736" s="147"/>
      <c r="AY736" s="147"/>
      <c r="AZ736" s="147"/>
      <c r="BA736" s="147"/>
      <c r="BB736" s="147"/>
      <c r="BC736" s="147"/>
      <c r="BD736" s="147"/>
      <c r="BE736" s="147"/>
      <c r="BF736" s="147"/>
      <c r="BG736" s="147"/>
      <c r="BH736" s="147"/>
      <c r="BI736" s="147"/>
      <c r="BJ736" s="147"/>
      <c r="BK736" s="147"/>
      <c r="BL736" s="147"/>
      <c r="BM736" s="147"/>
      <c r="BN736" s="147"/>
      <c r="BO736" s="147"/>
      <c r="BP736" s="147"/>
      <c r="BQ736" s="147"/>
      <c r="BR736" s="147"/>
      <c r="BS736" s="147"/>
      <c r="BT736" s="147"/>
      <c r="BU736" s="147"/>
      <c r="BV736" s="147"/>
      <c r="BW736" s="147"/>
      <c r="BX736" s="147"/>
      <c r="BY736" s="147"/>
      <c r="BZ736" s="147"/>
      <c r="CA736" s="147"/>
      <c r="CB736" s="147"/>
      <c r="CC736" s="147"/>
      <c r="CD736" s="147"/>
      <c r="CE736" s="147"/>
      <c r="CF736" s="147"/>
      <c r="CG736" s="147"/>
      <c r="CH736" s="147"/>
      <c r="CI736" s="147"/>
      <c r="CJ736" s="147"/>
      <c r="CK736" s="147"/>
    </row>
    <row r="737" spans="1:89">
      <c r="A737" s="147"/>
      <c r="B737" s="147"/>
      <c r="C737" s="147"/>
      <c r="D737" s="147"/>
      <c r="E737" s="147"/>
      <c r="F737" s="147"/>
      <c r="G737" s="147"/>
      <c r="H737" s="147"/>
      <c r="I737" s="147"/>
      <c r="J737" s="147"/>
      <c r="K737" s="147"/>
      <c r="L737" s="147"/>
      <c r="M737" s="147"/>
      <c r="N737" s="147"/>
      <c r="O737" s="158"/>
      <c r="P737" s="147"/>
      <c r="Q737" s="147"/>
      <c r="R737" s="147"/>
      <c r="S737" s="147"/>
      <c r="T737" s="147"/>
      <c r="U737" s="147"/>
      <c r="V737" s="147"/>
      <c r="W737" s="147"/>
      <c r="X737" s="147"/>
      <c r="Y737" s="147"/>
      <c r="Z737" s="147"/>
      <c r="AA737" s="147"/>
      <c r="AB737" s="147"/>
      <c r="AC737" s="147"/>
      <c r="AD737" s="147"/>
      <c r="AE737" s="147"/>
      <c r="AF737" s="147"/>
      <c r="AG737" s="147"/>
      <c r="AH737" s="147"/>
      <c r="AI737" s="147"/>
      <c r="AJ737" s="147"/>
      <c r="AK737" s="147"/>
      <c r="AL737" s="147"/>
      <c r="AM737" s="147"/>
      <c r="AN737" s="147"/>
      <c r="AO737" s="147"/>
      <c r="AP737" s="147"/>
      <c r="AQ737" s="147"/>
      <c r="AR737" s="147"/>
      <c r="AS737" s="147"/>
      <c r="AT737" s="147"/>
      <c r="AU737" s="147"/>
      <c r="AV737" s="147"/>
      <c r="AW737" s="147"/>
      <c r="AX737" s="147"/>
      <c r="AY737" s="147"/>
      <c r="AZ737" s="147"/>
      <c r="BA737" s="147"/>
      <c r="BB737" s="147"/>
      <c r="BC737" s="147"/>
      <c r="BD737" s="147"/>
      <c r="BE737" s="147"/>
      <c r="BF737" s="147"/>
      <c r="BG737" s="147"/>
      <c r="BH737" s="147"/>
      <c r="BI737" s="147"/>
      <c r="BJ737" s="147"/>
      <c r="BK737" s="147"/>
      <c r="BL737" s="147"/>
      <c r="BM737" s="147"/>
      <c r="BN737" s="147"/>
      <c r="BO737" s="147"/>
      <c r="BP737" s="147"/>
      <c r="BQ737" s="147"/>
      <c r="BR737" s="147"/>
      <c r="BS737" s="147"/>
      <c r="BT737" s="147"/>
      <c r="BU737" s="147"/>
      <c r="BV737" s="147"/>
      <c r="BW737" s="147"/>
      <c r="BX737" s="147"/>
      <c r="BY737" s="147"/>
      <c r="BZ737" s="147"/>
      <c r="CA737" s="147"/>
      <c r="CB737" s="147"/>
      <c r="CC737" s="147"/>
      <c r="CD737" s="147"/>
      <c r="CE737" s="147"/>
      <c r="CF737" s="147"/>
      <c r="CG737" s="147"/>
      <c r="CH737" s="147"/>
      <c r="CI737" s="147"/>
      <c r="CJ737" s="147"/>
      <c r="CK737" s="147"/>
    </row>
    <row r="738" spans="1:89">
      <c r="A738" s="147"/>
      <c r="B738" s="147"/>
      <c r="C738" s="147"/>
      <c r="D738" s="147"/>
      <c r="E738" s="147"/>
      <c r="F738" s="147"/>
      <c r="G738" s="147"/>
      <c r="H738" s="147"/>
      <c r="I738" s="147"/>
      <c r="J738" s="147"/>
      <c r="K738" s="147"/>
      <c r="L738" s="147"/>
      <c r="M738" s="147"/>
      <c r="N738" s="147"/>
      <c r="O738" s="158"/>
      <c r="P738" s="147"/>
      <c r="Q738" s="147"/>
      <c r="R738" s="147"/>
      <c r="S738" s="147"/>
      <c r="T738" s="147"/>
      <c r="U738" s="147"/>
      <c r="V738" s="147"/>
      <c r="W738" s="147"/>
      <c r="X738" s="147"/>
      <c r="Y738" s="147"/>
      <c r="Z738" s="147"/>
      <c r="AA738" s="147"/>
      <c r="AB738" s="147"/>
      <c r="AC738" s="147"/>
      <c r="AD738" s="147"/>
      <c r="AE738" s="147"/>
      <c r="AF738" s="147"/>
      <c r="AG738" s="147"/>
      <c r="AH738" s="147"/>
      <c r="AI738" s="147"/>
      <c r="AJ738" s="147"/>
      <c r="AK738" s="147"/>
      <c r="AL738" s="147"/>
      <c r="AM738" s="147"/>
      <c r="AN738" s="147"/>
      <c r="AO738" s="147"/>
      <c r="AP738" s="147"/>
      <c r="AQ738" s="147"/>
      <c r="AR738" s="147"/>
      <c r="AS738" s="147"/>
      <c r="AT738" s="147"/>
      <c r="AU738" s="147"/>
      <c r="AV738" s="147"/>
      <c r="AW738" s="147"/>
      <c r="AX738" s="147"/>
      <c r="AY738" s="147"/>
      <c r="AZ738" s="147"/>
      <c r="BA738" s="147"/>
      <c r="BB738" s="147"/>
      <c r="BC738" s="147"/>
      <c r="BD738" s="147"/>
      <c r="BE738" s="147"/>
      <c r="BF738" s="147"/>
      <c r="BG738" s="147"/>
      <c r="BH738" s="147"/>
      <c r="BI738" s="147"/>
      <c r="BJ738" s="147"/>
      <c r="BK738" s="147"/>
      <c r="BL738" s="147"/>
      <c r="BM738" s="147"/>
      <c r="BN738" s="147"/>
      <c r="BO738" s="147"/>
      <c r="BP738" s="147"/>
      <c r="BQ738" s="147"/>
      <c r="BR738" s="147"/>
      <c r="BS738" s="147"/>
      <c r="BT738" s="147"/>
      <c r="BU738" s="147"/>
      <c r="BV738" s="147"/>
      <c r="BW738" s="147"/>
      <c r="BX738" s="147"/>
      <c r="BY738" s="147"/>
      <c r="BZ738" s="147"/>
      <c r="CA738" s="147"/>
      <c r="CB738" s="147"/>
      <c r="CC738" s="147"/>
      <c r="CD738" s="147"/>
      <c r="CE738" s="147"/>
      <c r="CF738" s="147"/>
      <c r="CG738" s="147"/>
      <c r="CH738" s="147"/>
      <c r="CI738" s="147"/>
      <c r="CJ738" s="147"/>
      <c r="CK738" s="147"/>
    </row>
    <row r="739" spans="1:89">
      <c r="A739" s="147"/>
      <c r="B739" s="147"/>
      <c r="C739" s="147"/>
      <c r="D739" s="147"/>
      <c r="E739" s="147"/>
      <c r="F739" s="147"/>
      <c r="G739" s="147"/>
      <c r="H739" s="147"/>
      <c r="I739" s="147"/>
      <c r="J739" s="147"/>
      <c r="K739" s="147"/>
      <c r="L739" s="147"/>
      <c r="M739" s="147"/>
      <c r="N739" s="147"/>
      <c r="O739" s="158"/>
      <c r="P739" s="147"/>
      <c r="Q739" s="147"/>
      <c r="R739" s="147"/>
      <c r="S739" s="147"/>
      <c r="T739" s="147"/>
      <c r="U739" s="147"/>
      <c r="V739" s="147"/>
      <c r="W739" s="147"/>
      <c r="X739" s="147"/>
      <c r="Y739" s="147"/>
      <c r="Z739" s="147"/>
      <c r="AA739" s="147"/>
      <c r="AB739" s="147"/>
      <c r="AC739" s="147"/>
      <c r="AD739" s="147"/>
      <c r="AE739" s="147"/>
      <c r="AF739" s="147"/>
      <c r="AG739" s="147"/>
      <c r="AH739" s="147"/>
      <c r="AI739" s="147"/>
      <c r="AJ739" s="147"/>
      <c r="AK739" s="147"/>
      <c r="AL739" s="147"/>
      <c r="AM739" s="147"/>
      <c r="AN739" s="147"/>
      <c r="AO739" s="147"/>
      <c r="AP739" s="147"/>
      <c r="AQ739" s="147"/>
      <c r="AR739" s="147"/>
      <c r="AS739" s="147"/>
      <c r="AT739" s="147"/>
      <c r="AU739" s="147"/>
      <c r="AV739" s="147"/>
      <c r="AW739" s="147"/>
      <c r="AX739" s="147"/>
      <c r="AY739" s="147"/>
      <c r="AZ739" s="147"/>
      <c r="BA739" s="147"/>
      <c r="BB739" s="147"/>
      <c r="BC739" s="147"/>
      <c r="BD739" s="147"/>
      <c r="BE739" s="147"/>
      <c r="BF739" s="147"/>
      <c r="BG739" s="147"/>
      <c r="BH739" s="147"/>
      <c r="BI739" s="147"/>
      <c r="BJ739" s="147"/>
      <c r="BK739" s="147"/>
      <c r="BL739" s="147"/>
      <c r="BM739" s="147"/>
      <c r="BN739" s="147"/>
      <c r="BO739" s="147"/>
      <c r="BP739" s="147"/>
      <c r="BQ739" s="147"/>
      <c r="BR739" s="147"/>
      <c r="BS739" s="147"/>
      <c r="BT739" s="147"/>
      <c r="BU739" s="147"/>
      <c r="BV739" s="147"/>
      <c r="BW739" s="147"/>
      <c r="BX739" s="147"/>
      <c r="BY739" s="147"/>
      <c r="BZ739" s="147"/>
      <c r="CA739" s="147"/>
      <c r="CB739" s="147"/>
      <c r="CC739" s="147"/>
      <c r="CD739" s="147"/>
      <c r="CE739" s="147"/>
      <c r="CF739" s="147"/>
      <c r="CG739" s="147"/>
      <c r="CH739" s="147"/>
      <c r="CI739" s="147"/>
      <c r="CJ739" s="147"/>
      <c r="CK739" s="147"/>
    </row>
    <row r="740" spans="1:89">
      <c r="A740" s="147"/>
      <c r="B740" s="147"/>
      <c r="C740" s="147"/>
      <c r="D740" s="147"/>
      <c r="E740" s="147"/>
      <c r="F740" s="147"/>
      <c r="G740" s="147"/>
      <c r="H740" s="147"/>
      <c r="I740" s="147"/>
      <c r="J740" s="147"/>
      <c r="K740" s="147"/>
      <c r="L740" s="147"/>
      <c r="M740" s="147"/>
      <c r="N740" s="147"/>
      <c r="O740" s="158"/>
      <c r="P740" s="147"/>
      <c r="Q740" s="147"/>
      <c r="R740" s="147"/>
      <c r="S740" s="147"/>
      <c r="T740" s="147"/>
      <c r="U740" s="147"/>
      <c r="V740" s="147"/>
      <c r="W740" s="147"/>
      <c r="X740" s="147"/>
      <c r="Y740" s="147"/>
      <c r="Z740" s="147"/>
      <c r="AA740" s="147"/>
      <c r="AB740" s="147"/>
      <c r="AC740" s="147"/>
      <c r="AD740" s="147"/>
      <c r="AE740" s="147"/>
      <c r="AF740" s="147"/>
      <c r="AG740" s="147"/>
      <c r="AH740" s="147"/>
      <c r="AI740" s="147"/>
      <c r="AJ740" s="147"/>
      <c r="AK740" s="147"/>
      <c r="AL740" s="147"/>
      <c r="AM740" s="147"/>
      <c r="AN740" s="147"/>
      <c r="AO740" s="147"/>
      <c r="AP740" s="147"/>
      <c r="AQ740" s="147"/>
      <c r="AR740" s="147"/>
      <c r="AS740" s="147"/>
      <c r="AT740" s="147"/>
      <c r="AU740" s="147"/>
      <c r="AV740" s="147"/>
      <c r="AW740" s="147"/>
      <c r="AX740" s="147"/>
      <c r="AY740" s="147"/>
      <c r="AZ740" s="147"/>
      <c r="BA740" s="147"/>
      <c r="BB740" s="147"/>
      <c r="BC740" s="147"/>
      <c r="BD740" s="147"/>
      <c r="BE740" s="147"/>
      <c r="BF740" s="147"/>
      <c r="BG740" s="147"/>
      <c r="BH740" s="147"/>
      <c r="BI740" s="147"/>
      <c r="BJ740" s="147"/>
      <c r="BK740" s="147"/>
      <c r="BL740" s="147"/>
      <c r="BM740" s="147"/>
      <c r="BN740" s="147"/>
      <c r="BO740" s="147"/>
      <c r="BP740" s="147"/>
      <c r="BQ740" s="147"/>
      <c r="BR740" s="147"/>
      <c r="BS740" s="147"/>
      <c r="BT740" s="147"/>
      <c r="BU740" s="147"/>
      <c r="BV740" s="147"/>
      <c r="BW740" s="147"/>
      <c r="BX740" s="147"/>
      <c r="BY740" s="147"/>
      <c r="BZ740" s="147"/>
      <c r="CA740" s="147"/>
      <c r="CB740" s="147"/>
      <c r="CC740" s="147"/>
      <c r="CD740" s="147"/>
      <c r="CE740" s="147"/>
      <c r="CF740" s="147"/>
      <c r="CG740" s="147"/>
      <c r="CH740" s="147"/>
      <c r="CI740" s="147"/>
      <c r="CJ740" s="147"/>
      <c r="CK740" s="147"/>
    </row>
    <row r="741" spans="1:89">
      <c r="A741" s="147"/>
      <c r="B741" s="147"/>
      <c r="C741" s="147"/>
      <c r="D741" s="147"/>
      <c r="E741" s="147"/>
      <c r="F741" s="147"/>
      <c r="G741" s="147"/>
      <c r="H741" s="147"/>
      <c r="I741" s="147"/>
      <c r="J741" s="147"/>
      <c r="K741" s="147"/>
      <c r="L741" s="147"/>
      <c r="M741" s="147"/>
      <c r="N741" s="147"/>
      <c r="O741" s="158"/>
      <c r="P741" s="147"/>
      <c r="Q741" s="147"/>
      <c r="R741" s="147"/>
      <c r="S741" s="147"/>
      <c r="T741" s="147"/>
      <c r="U741" s="147"/>
      <c r="V741" s="147"/>
      <c r="W741" s="147"/>
      <c r="X741" s="147"/>
      <c r="Y741" s="147"/>
      <c r="Z741" s="147"/>
      <c r="AA741" s="147"/>
      <c r="AB741" s="147"/>
      <c r="AC741" s="147"/>
      <c r="AD741" s="147"/>
      <c r="AE741" s="147"/>
      <c r="AF741" s="147"/>
      <c r="AG741" s="147"/>
      <c r="AH741" s="147"/>
      <c r="AI741" s="147"/>
      <c r="AJ741" s="147"/>
      <c r="AK741" s="147"/>
      <c r="AL741" s="147"/>
      <c r="AM741" s="147"/>
      <c r="AN741" s="147"/>
      <c r="AO741" s="147"/>
      <c r="AP741" s="147"/>
      <c r="AQ741" s="147"/>
      <c r="AR741" s="147"/>
      <c r="AS741" s="147"/>
      <c r="AT741" s="147"/>
      <c r="AU741" s="147"/>
      <c r="AV741" s="147"/>
      <c r="AW741" s="147"/>
      <c r="AX741" s="147"/>
      <c r="AY741" s="147"/>
      <c r="AZ741" s="147"/>
      <c r="BA741" s="147"/>
      <c r="BB741" s="147"/>
      <c r="BC741" s="147"/>
      <c r="BD741" s="147"/>
      <c r="BE741" s="147"/>
      <c r="BF741" s="147"/>
      <c r="BG741" s="147"/>
      <c r="BH741" s="147"/>
      <c r="BI741" s="147"/>
      <c r="BJ741" s="147"/>
      <c r="BK741" s="147"/>
      <c r="BL741" s="147"/>
      <c r="BM741" s="147"/>
      <c r="BN741" s="147"/>
      <c r="BO741" s="147"/>
      <c r="BP741" s="147"/>
      <c r="BQ741" s="147"/>
      <c r="BR741" s="147"/>
      <c r="BS741" s="147"/>
      <c r="BT741" s="147"/>
      <c r="BU741" s="147"/>
      <c r="BV741" s="147"/>
      <c r="BW741" s="147"/>
      <c r="BX741" s="147"/>
      <c r="BY741" s="147"/>
      <c r="BZ741" s="147"/>
      <c r="CA741" s="147"/>
      <c r="CB741" s="147"/>
      <c r="CC741" s="147"/>
      <c r="CD741" s="147"/>
      <c r="CE741" s="147"/>
      <c r="CF741" s="147"/>
      <c r="CG741" s="147"/>
      <c r="CH741" s="147"/>
      <c r="CI741" s="147"/>
      <c r="CJ741" s="147"/>
      <c r="CK741" s="147"/>
    </row>
    <row r="742" spans="1:89">
      <c r="A742" s="147"/>
      <c r="B742" s="147"/>
      <c r="C742" s="147"/>
      <c r="D742" s="147"/>
      <c r="E742" s="147"/>
      <c r="F742" s="147"/>
      <c r="G742" s="147"/>
      <c r="H742" s="147"/>
      <c r="I742" s="147"/>
      <c r="J742" s="147"/>
      <c r="K742" s="147"/>
      <c r="L742" s="147"/>
      <c r="M742" s="147"/>
      <c r="N742" s="147"/>
      <c r="O742" s="158"/>
      <c r="P742" s="147"/>
      <c r="Q742" s="147"/>
      <c r="R742" s="147"/>
      <c r="S742" s="147"/>
      <c r="T742" s="147"/>
      <c r="U742" s="147"/>
      <c r="V742" s="147"/>
      <c r="W742" s="147"/>
      <c r="X742" s="147"/>
      <c r="Y742" s="147"/>
      <c r="Z742" s="147"/>
      <c r="AA742" s="147"/>
      <c r="AB742" s="147"/>
      <c r="AC742" s="147"/>
      <c r="AD742" s="147"/>
      <c r="AE742" s="147"/>
      <c r="AF742" s="147"/>
      <c r="AG742" s="147"/>
      <c r="AH742" s="147"/>
      <c r="AI742" s="147"/>
      <c r="AJ742" s="147"/>
      <c r="AK742" s="147"/>
      <c r="AL742" s="147"/>
      <c r="AM742" s="147"/>
      <c r="AN742" s="147"/>
      <c r="AO742" s="147"/>
      <c r="AP742" s="147"/>
      <c r="AQ742" s="147"/>
      <c r="AR742" s="147"/>
      <c r="AS742" s="147"/>
      <c r="AT742" s="147"/>
      <c r="AU742" s="147"/>
      <c r="AV742" s="147"/>
      <c r="AW742" s="147"/>
      <c r="AX742" s="147"/>
      <c r="AY742" s="147"/>
      <c r="AZ742" s="147"/>
      <c r="BA742" s="147"/>
      <c r="BB742" s="147"/>
      <c r="BC742" s="147"/>
      <c r="BD742" s="147"/>
      <c r="BE742" s="147"/>
      <c r="BF742" s="147"/>
      <c r="BG742" s="147"/>
      <c r="BH742" s="147"/>
      <c r="BI742" s="147"/>
      <c r="BJ742" s="147"/>
      <c r="BK742" s="147"/>
      <c r="BL742" s="147"/>
      <c r="BM742" s="147"/>
      <c r="BN742" s="147"/>
      <c r="BO742" s="147"/>
      <c r="BP742" s="147"/>
      <c r="BQ742" s="147"/>
      <c r="BR742" s="147"/>
      <c r="BS742" s="147"/>
      <c r="BT742" s="147"/>
      <c r="BU742" s="147"/>
      <c r="BV742" s="147"/>
      <c r="BW742" s="147"/>
      <c r="BX742" s="147"/>
      <c r="BY742" s="147"/>
      <c r="BZ742" s="147"/>
      <c r="CA742" s="147"/>
      <c r="CB742" s="147"/>
      <c r="CC742" s="147"/>
      <c r="CD742" s="147"/>
      <c r="CE742" s="147"/>
      <c r="CF742" s="147"/>
      <c r="CG742" s="147"/>
      <c r="CH742" s="147"/>
      <c r="CI742" s="147"/>
      <c r="CJ742" s="147"/>
      <c r="CK742" s="147"/>
    </row>
    <row r="743" spans="1:89">
      <c r="A743" s="147"/>
      <c r="B743" s="147"/>
      <c r="C743" s="147"/>
      <c r="D743" s="147"/>
      <c r="E743" s="147"/>
      <c r="F743" s="147"/>
      <c r="G743" s="147"/>
      <c r="H743" s="147"/>
      <c r="I743" s="147"/>
      <c r="J743" s="147"/>
      <c r="K743" s="147"/>
      <c r="L743" s="147"/>
      <c r="M743" s="147"/>
      <c r="N743" s="147"/>
      <c r="O743" s="158"/>
      <c r="P743" s="147"/>
      <c r="Q743" s="147"/>
      <c r="R743" s="147"/>
      <c r="S743" s="147"/>
      <c r="T743" s="147"/>
      <c r="U743" s="147"/>
      <c r="V743" s="147"/>
      <c r="W743" s="147"/>
      <c r="X743" s="147"/>
      <c r="Y743" s="147"/>
      <c r="Z743" s="147"/>
      <c r="AA743" s="147"/>
      <c r="AB743" s="147"/>
      <c r="AC743" s="147"/>
      <c r="AD743" s="147"/>
      <c r="AE743" s="147"/>
      <c r="AF743" s="147"/>
      <c r="AG743" s="147"/>
      <c r="AH743" s="147"/>
      <c r="AI743" s="147"/>
      <c r="AJ743" s="147"/>
      <c r="AK743" s="147"/>
      <c r="AL743" s="147"/>
      <c r="AM743" s="147"/>
      <c r="AN743" s="147"/>
      <c r="AO743" s="147"/>
      <c r="AP743" s="147"/>
      <c r="AQ743" s="147"/>
      <c r="AR743" s="147"/>
      <c r="AS743" s="147"/>
      <c r="AT743" s="147"/>
      <c r="AU743" s="147"/>
      <c r="AV743" s="147"/>
      <c r="AW743" s="147"/>
      <c r="AX743" s="147"/>
      <c r="AY743" s="147"/>
      <c r="AZ743" s="147"/>
      <c r="BA743" s="147"/>
      <c r="BB743" s="147"/>
      <c r="BC743" s="147"/>
      <c r="BD743" s="147"/>
      <c r="BE743" s="147"/>
      <c r="BF743" s="147"/>
      <c r="BG743" s="147"/>
      <c r="BH743" s="147"/>
      <c r="BI743" s="147"/>
      <c r="BJ743" s="147"/>
      <c r="BK743" s="147"/>
      <c r="BL743" s="147"/>
      <c r="BM743" s="147"/>
      <c r="BN743" s="147"/>
      <c r="BO743" s="147"/>
      <c r="BP743" s="147"/>
      <c r="BQ743" s="147"/>
      <c r="BR743" s="147"/>
      <c r="BS743" s="147"/>
      <c r="BT743" s="147"/>
      <c r="BU743" s="147"/>
      <c r="BV743" s="147"/>
      <c r="BW743" s="147"/>
      <c r="BX743" s="147"/>
      <c r="BY743" s="147"/>
      <c r="BZ743" s="147"/>
      <c r="CA743" s="147"/>
      <c r="CB743" s="147"/>
      <c r="CC743" s="147"/>
      <c r="CD743" s="147"/>
      <c r="CE743" s="147"/>
      <c r="CF743" s="147"/>
      <c r="CG743" s="147"/>
      <c r="CH743" s="147"/>
      <c r="CI743" s="147"/>
      <c r="CJ743" s="147"/>
      <c r="CK743" s="147"/>
    </row>
    <row r="744" spans="1:89">
      <c r="A744" s="147"/>
      <c r="B744" s="147"/>
      <c r="C744" s="147"/>
      <c r="D744" s="147"/>
      <c r="E744" s="147"/>
      <c r="F744" s="147"/>
      <c r="G744" s="147"/>
      <c r="H744" s="147"/>
      <c r="I744" s="147"/>
      <c r="J744" s="147"/>
      <c r="K744" s="147"/>
      <c r="L744" s="147"/>
      <c r="M744" s="147"/>
      <c r="N744" s="147"/>
      <c r="O744" s="158"/>
      <c r="P744" s="147"/>
      <c r="Q744" s="147"/>
      <c r="R744" s="147"/>
      <c r="S744" s="147"/>
      <c r="T744" s="147"/>
      <c r="U744" s="147"/>
      <c r="V744" s="147"/>
      <c r="W744" s="147"/>
      <c r="X744" s="147"/>
      <c r="Y744" s="147"/>
      <c r="Z744" s="147"/>
      <c r="AA744" s="147"/>
      <c r="AB744" s="147"/>
      <c r="AC744" s="147"/>
      <c r="AD744" s="147"/>
      <c r="AE744" s="147"/>
      <c r="AF744" s="147"/>
      <c r="AG744" s="147"/>
      <c r="AH744" s="147"/>
      <c r="AI744" s="147"/>
      <c r="AJ744" s="147"/>
      <c r="AK744" s="147"/>
      <c r="AL744" s="147"/>
      <c r="AM744" s="147"/>
      <c r="AN744" s="147"/>
      <c r="AO744" s="147"/>
      <c r="AP744" s="147"/>
      <c r="AQ744" s="147"/>
      <c r="AR744" s="147"/>
      <c r="AS744" s="147"/>
      <c r="AT744" s="147"/>
      <c r="AU744" s="147"/>
      <c r="AV744" s="147"/>
      <c r="AW744" s="147"/>
      <c r="AX744" s="147"/>
      <c r="AY744" s="147"/>
      <c r="AZ744" s="147"/>
      <c r="BA744" s="147"/>
      <c r="BB744" s="147"/>
      <c r="BC744" s="147"/>
      <c r="BD744" s="147"/>
      <c r="BE744" s="147"/>
      <c r="BF744" s="147"/>
      <c r="BG744" s="147"/>
      <c r="BH744" s="147"/>
      <c r="BI744" s="147"/>
      <c r="BJ744" s="147"/>
      <c r="BK744" s="147"/>
      <c r="BL744" s="147"/>
      <c r="BM744" s="147"/>
      <c r="BN744" s="147"/>
      <c r="BO744" s="147"/>
      <c r="BP744" s="147"/>
      <c r="BQ744" s="147"/>
      <c r="BR744" s="147"/>
      <c r="BS744" s="147"/>
      <c r="BT744" s="147"/>
      <c r="BU744" s="147"/>
      <c r="BV744" s="147"/>
      <c r="BW744" s="147"/>
      <c r="BX744" s="147"/>
      <c r="BY744" s="147"/>
      <c r="BZ744" s="147"/>
      <c r="CA744" s="147"/>
      <c r="CB744" s="147"/>
      <c r="CC744" s="147"/>
      <c r="CD744" s="147"/>
      <c r="CE744" s="147"/>
      <c r="CF744" s="147"/>
      <c r="CG744" s="147"/>
      <c r="CH744" s="147"/>
      <c r="CI744" s="147"/>
      <c r="CJ744" s="147"/>
      <c r="CK744" s="147"/>
    </row>
    <row r="745" spans="1:89">
      <c r="A745" s="147"/>
      <c r="B745" s="147"/>
      <c r="C745" s="147"/>
      <c r="D745" s="147"/>
      <c r="E745" s="147"/>
      <c r="F745" s="147"/>
      <c r="G745" s="147"/>
      <c r="H745" s="147"/>
      <c r="I745" s="147"/>
      <c r="J745" s="147"/>
      <c r="K745" s="147"/>
      <c r="L745" s="147"/>
      <c r="M745" s="147"/>
      <c r="N745" s="147"/>
      <c r="O745" s="158"/>
      <c r="P745" s="147"/>
      <c r="Q745" s="147"/>
      <c r="R745" s="147"/>
      <c r="S745" s="147"/>
      <c r="T745" s="147"/>
      <c r="U745" s="147"/>
      <c r="V745" s="147"/>
      <c r="W745" s="147"/>
      <c r="X745" s="147"/>
      <c r="Y745" s="147"/>
      <c r="Z745" s="147"/>
      <c r="AA745" s="147"/>
      <c r="AB745" s="147"/>
      <c r="AC745" s="147"/>
      <c r="AD745" s="147"/>
      <c r="AE745" s="147"/>
      <c r="AF745" s="147"/>
      <c r="AG745" s="147"/>
      <c r="AH745" s="147"/>
      <c r="AI745" s="147"/>
      <c r="AJ745" s="147"/>
      <c r="AK745" s="147"/>
      <c r="AL745" s="147"/>
      <c r="AM745" s="147"/>
      <c r="AN745" s="147"/>
      <c r="AO745" s="147"/>
      <c r="AP745" s="147"/>
      <c r="AQ745" s="147"/>
      <c r="AR745" s="147"/>
      <c r="AS745" s="147"/>
      <c r="AT745" s="147"/>
      <c r="AU745" s="147"/>
      <c r="AV745" s="147"/>
      <c r="AW745" s="147"/>
      <c r="AX745" s="147"/>
      <c r="AY745" s="147"/>
      <c r="AZ745" s="147"/>
      <c r="BA745" s="147"/>
      <c r="BB745" s="147"/>
      <c r="BC745" s="147"/>
      <c r="BD745" s="147"/>
      <c r="BE745" s="147"/>
      <c r="BF745" s="147"/>
      <c r="BG745" s="147"/>
      <c r="BH745" s="147"/>
      <c r="BI745" s="147"/>
      <c r="BJ745" s="147"/>
      <c r="BK745" s="147"/>
      <c r="BL745" s="147"/>
      <c r="BM745" s="147"/>
      <c r="BN745" s="147"/>
      <c r="BO745" s="147"/>
      <c r="BP745" s="147"/>
      <c r="BQ745" s="147"/>
      <c r="BR745" s="147"/>
      <c r="BS745" s="147"/>
      <c r="BT745" s="147"/>
      <c r="BU745" s="147"/>
      <c r="BV745" s="147"/>
      <c r="BW745" s="147"/>
      <c r="BX745" s="147"/>
      <c r="BY745" s="147"/>
      <c r="BZ745" s="147"/>
      <c r="CA745" s="147"/>
      <c r="CB745" s="147"/>
      <c r="CC745" s="147"/>
      <c r="CD745" s="147"/>
      <c r="CE745" s="147"/>
      <c r="CF745" s="147"/>
      <c r="CG745" s="147"/>
      <c r="CH745" s="147"/>
      <c r="CI745" s="147"/>
      <c r="CJ745" s="147"/>
      <c r="CK745" s="147"/>
    </row>
    <row r="746" spans="1:89">
      <c r="A746" s="147"/>
      <c r="B746" s="147"/>
      <c r="C746" s="147"/>
      <c r="D746" s="147"/>
      <c r="E746" s="147"/>
      <c r="F746" s="147"/>
      <c r="G746" s="147"/>
      <c r="H746" s="147"/>
      <c r="I746" s="147"/>
      <c r="J746" s="147"/>
      <c r="K746" s="147"/>
      <c r="L746" s="147"/>
      <c r="M746" s="147"/>
      <c r="N746" s="147"/>
      <c r="O746" s="158"/>
      <c r="P746" s="147"/>
      <c r="Q746" s="147"/>
      <c r="R746" s="147"/>
      <c r="S746" s="147"/>
      <c r="T746" s="147"/>
      <c r="U746" s="147"/>
      <c r="V746" s="147"/>
      <c r="W746" s="147"/>
      <c r="X746" s="147"/>
      <c r="Y746" s="147"/>
      <c r="Z746" s="147"/>
      <c r="AA746" s="147"/>
      <c r="AB746" s="147"/>
      <c r="AC746" s="147"/>
      <c r="AD746" s="147"/>
      <c r="AE746" s="147"/>
      <c r="AF746" s="147"/>
      <c r="AG746" s="147"/>
      <c r="AH746" s="147"/>
      <c r="AI746" s="147"/>
      <c r="AJ746" s="147"/>
      <c r="AK746" s="147"/>
      <c r="AL746" s="147"/>
      <c r="AM746" s="147"/>
      <c r="AN746" s="147"/>
      <c r="AO746" s="147"/>
      <c r="AP746" s="147"/>
      <c r="AQ746" s="147"/>
      <c r="AR746" s="147"/>
      <c r="AS746" s="147"/>
      <c r="AT746" s="147"/>
      <c r="AU746" s="147"/>
      <c r="AV746" s="147"/>
      <c r="AW746" s="147"/>
      <c r="AX746" s="147"/>
      <c r="AY746" s="147"/>
      <c r="AZ746" s="147"/>
      <c r="BA746" s="147"/>
      <c r="BB746" s="147"/>
      <c r="BC746" s="147"/>
      <c r="BD746" s="147"/>
      <c r="BE746" s="147"/>
      <c r="BF746" s="147"/>
      <c r="BG746" s="147"/>
      <c r="BH746" s="147"/>
      <c r="BI746" s="147"/>
      <c r="BJ746" s="147"/>
      <c r="BK746" s="147"/>
      <c r="BL746" s="147"/>
      <c r="BM746" s="147"/>
      <c r="BN746" s="147"/>
      <c r="BO746" s="147"/>
      <c r="BP746" s="147"/>
      <c r="BQ746" s="147"/>
      <c r="BR746" s="147"/>
      <c r="BS746" s="147"/>
      <c r="BT746" s="147"/>
      <c r="BU746" s="147"/>
      <c r="BV746" s="147"/>
      <c r="BW746" s="147"/>
      <c r="BX746" s="147"/>
      <c r="BY746" s="147"/>
      <c r="BZ746" s="147"/>
      <c r="CA746" s="147"/>
      <c r="CB746" s="147"/>
      <c r="CC746" s="147"/>
      <c r="CD746" s="147"/>
      <c r="CE746" s="147"/>
      <c r="CF746" s="147"/>
      <c r="CG746" s="147"/>
      <c r="CH746" s="147"/>
      <c r="CI746" s="147"/>
      <c r="CJ746" s="147"/>
      <c r="CK746" s="147"/>
    </row>
    <row r="747" spans="1:89">
      <c r="A747" s="147"/>
      <c r="B747" s="147"/>
      <c r="C747" s="147"/>
      <c r="D747" s="147"/>
      <c r="E747" s="147"/>
      <c r="F747" s="147"/>
      <c r="G747" s="147"/>
      <c r="H747" s="147"/>
      <c r="I747" s="147"/>
      <c r="J747" s="147"/>
      <c r="K747" s="147"/>
      <c r="L747" s="147"/>
      <c r="M747" s="147"/>
      <c r="N747" s="147"/>
      <c r="O747" s="158"/>
      <c r="P747" s="147"/>
      <c r="Q747" s="147"/>
      <c r="R747" s="147"/>
      <c r="S747" s="147"/>
      <c r="T747" s="147"/>
      <c r="U747" s="147"/>
      <c r="V747" s="147"/>
      <c r="W747" s="147"/>
      <c r="X747" s="147"/>
      <c r="Y747" s="147"/>
      <c r="Z747" s="147"/>
      <c r="AA747" s="147"/>
      <c r="AB747" s="147"/>
      <c r="AC747" s="147"/>
      <c r="AD747" s="147"/>
      <c r="AE747" s="147"/>
      <c r="AF747" s="147"/>
      <c r="AG747" s="147"/>
      <c r="AH747" s="147"/>
      <c r="AI747" s="147"/>
      <c r="AJ747" s="147"/>
      <c r="AK747" s="147"/>
      <c r="AL747" s="147"/>
      <c r="AM747" s="147"/>
      <c r="AN747" s="147"/>
      <c r="AO747" s="147"/>
      <c r="AP747" s="147"/>
      <c r="AQ747" s="147"/>
      <c r="AR747" s="147"/>
      <c r="AS747" s="147"/>
      <c r="AT747" s="147"/>
      <c r="AU747" s="147"/>
      <c r="AV747" s="147"/>
      <c r="AW747" s="147"/>
      <c r="AX747" s="147"/>
      <c r="AY747" s="147"/>
      <c r="AZ747" s="147"/>
      <c r="BA747" s="147"/>
      <c r="BB747" s="147"/>
      <c r="BC747" s="147"/>
      <c r="BD747" s="147"/>
      <c r="BE747" s="147"/>
      <c r="BF747" s="147"/>
      <c r="BG747" s="147"/>
      <c r="BH747" s="147"/>
      <c r="BI747" s="147"/>
      <c r="BJ747" s="147"/>
      <c r="BK747" s="147"/>
      <c r="BL747" s="147"/>
      <c r="BM747" s="147"/>
      <c r="BN747" s="147"/>
      <c r="BO747" s="147"/>
      <c r="BP747" s="147"/>
      <c r="BQ747" s="147"/>
      <c r="BR747" s="147"/>
      <c r="BS747" s="147"/>
      <c r="BT747" s="147"/>
      <c r="BU747" s="147"/>
      <c r="BV747" s="147"/>
      <c r="BW747" s="147"/>
      <c r="BX747" s="147"/>
      <c r="BY747" s="147"/>
      <c r="BZ747" s="147"/>
      <c r="CA747" s="147"/>
      <c r="CB747" s="147"/>
      <c r="CC747" s="147"/>
      <c r="CD747" s="147"/>
      <c r="CE747" s="147"/>
      <c r="CF747" s="147"/>
      <c r="CG747" s="147"/>
      <c r="CH747" s="147"/>
      <c r="CI747" s="147"/>
      <c r="CJ747" s="147"/>
      <c r="CK747" s="147"/>
    </row>
    <row r="748" spans="1:89">
      <c r="A748" s="147"/>
      <c r="B748" s="147"/>
      <c r="C748" s="147"/>
      <c r="D748" s="147"/>
      <c r="E748" s="147"/>
      <c r="F748" s="147"/>
      <c r="G748" s="147"/>
      <c r="H748" s="147"/>
      <c r="I748" s="147"/>
      <c r="J748" s="147"/>
      <c r="K748" s="147"/>
      <c r="L748" s="147"/>
      <c r="M748" s="147"/>
      <c r="N748" s="147"/>
      <c r="O748" s="158"/>
      <c r="P748" s="147"/>
      <c r="Q748" s="147"/>
      <c r="R748" s="147"/>
      <c r="S748" s="147"/>
      <c r="T748" s="147"/>
      <c r="U748" s="147"/>
      <c r="V748" s="147"/>
      <c r="W748" s="147"/>
      <c r="X748" s="147"/>
      <c r="Y748" s="147"/>
      <c r="Z748" s="147"/>
      <c r="AA748" s="147"/>
      <c r="AB748" s="147"/>
      <c r="AC748" s="147"/>
      <c r="AD748" s="147"/>
      <c r="AE748" s="147"/>
      <c r="AF748" s="147"/>
      <c r="AG748" s="147"/>
      <c r="AH748" s="147"/>
      <c r="AI748" s="147"/>
      <c r="AJ748" s="147"/>
      <c r="AK748" s="147"/>
      <c r="AL748" s="147"/>
      <c r="AM748" s="147"/>
      <c r="AN748" s="147"/>
      <c r="AO748" s="147"/>
      <c r="AP748" s="147"/>
      <c r="AQ748" s="147"/>
      <c r="AR748" s="147"/>
      <c r="AS748" s="147"/>
      <c r="AT748" s="147"/>
      <c r="AU748" s="147"/>
      <c r="AV748" s="147"/>
      <c r="AW748" s="147"/>
      <c r="AX748" s="147"/>
      <c r="AY748" s="147"/>
      <c r="AZ748" s="147"/>
      <c r="BA748" s="147"/>
      <c r="BB748" s="147"/>
      <c r="BC748" s="147"/>
      <c r="BD748" s="147"/>
      <c r="BE748" s="147"/>
      <c r="BF748" s="147"/>
      <c r="BG748" s="147"/>
      <c r="BH748" s="147"/>
      <c r="BI748" s="147"/>
      <c r="BJ748" s="147"/>
      <c r="BK748" s="147"/>
      <c r="BL748" s="147"/>
      <c r="BM748" s="147"/>
      <c r="BN748" s="147"/>
      <c r="BO748" s="147"/>
      <c r="BP748" s="147"/>
      <c r="BQ748" s="147"/>
      <c r="BR748" s="147"/>
      <c r="BS748" s="147"/>
      <c r="BT748" s="147"/>
      <c r="BU748" s="147"/>
      <c r="BV748" s="147"/>
      <c r="BW748" s="147"/>
      <c r="BX748" s="147"/>
      <c r="BY748" s="147"/>
      <c r="BZ748" s="147"/>
      <c r="CA748" s="147"/>
      <c r="CB748" s="147"/>
      <c r="CC748" s="147"/>
      <c r="CD748" s="147"/>
      <c r="CE748" s="147"/>
      <c r="CF748" s="147"/>
      <c r="CG748" s="147"/>
      <c r="CH748" s="147"/>
      <c r="CI748" s="147"/>
      <c r="CJ748" s="147"/>
      <c r="CK748" s="147"/>
    </row>
    <row r="749" spans="1:89">
      <c r="A749" s="147"/>
      <c r="B749" s="147"/>
      <c r="C749" s="147"/>
      <c r="D749" s="147"/>
      <c r="E749" s="147"/>
      <c r="F749" s="147"/>
      <c r="G749" s="147"/>
      <c r="H749" s="147"/>
      <c r="I749" s="147"/>
      <c r="J749" s="147"/>
      <c r="K749" s="147"/>
      <c r="L749" s="147"/>
      <c r="M749" s="147"/>
      <c r="N749" s="147"/>
      <c r="O749" s="158"/>
      <c r="P749" s="147"/>
      <c r="Q749" s="147"/>
      <c r="R749" s="147"/>
      <c r="S749" s="147"/>
      <c r="T749" s="147"/>
      <c r="U749" s="147"/>
      <c r="V749" s="147"/>
      <c r="W749" s="147"/>
      <c r="X749" s="147"/>
      <c r="Y749" s="147"/>
      <c r="Z749" s="147"/>
      <c r="AA749" s="147"/>
      <c r="AB749" s="147"/>
      <c r="AC749" s="147"/>
      <c r="AD749" s="147"/>
      <c r="AE749" s="147"/>
      <c r="AF749" s="147"/>
      <c r="AG749" s="147"/>
      <c r="AH749" s="147"/>
      <c r="AI749" s="147"/>
      <c r="AJ749" s="147"/>
      <c r="AK749" s="147"/>
      <c r="AL749" s="147"/>
      <c r="AM749" s="147"/>
      <c r="AN749" s="147"/>
      <c r="AO749" s="147"/>
      <c r="AP749" s="147"/>
      <c r="AQ749" s="147"/>
      <c r="AR749" s="147"/>
      <c r="AS749" s="147"/>
      <c r="AT749" s="147"/>
      <c r="AU749" s="147"/>
      <c r="AV749" s="147"/>
      <c r="AW749" s="147"/>
      <c r="AX749" s="147"/>
      <c r="AY749" s="147"/>
      <c r="AZ749" s="147"/>
      <c r="BA749" s="147"/>
      <c r="BB749" s="147"/>
      <c r="BC749" s="147"/>
      <c r="BD749" s="147"/>
      <c r="BE749" s="147"/>
      <c r="BF749" s="147"/>
      <c r="BG749" s="147"/>
      <c r="BH749" s="147"/>
      <c r="BI749" s="147"/>
      <c r="BJ749" s="147"/>
      <c r="BK749" s="147"/>
      <c r="BL749" s="147"/>
      <c r="BM749" s="147"/>
      <c r="BN749" s="147"/>
      <c r="BO749" s="147"/>
      <c r="BP749" s="147"/>
      <c r="BQ749" s="147"/>
      <c r="BR749" s="147"/>
      <c r="BS749" s="147"/>
      <c r="BT749" s="147"/>
      <c r="BU749" s="147"/>
      <c r="BV749" s="147"/>
      <c r="BW749" s="147"/>
      <c r="BX749" s="147"/>
      <c r="BY749" s="147"/>
      <c r="BZ749" s="147"/>
      <c r="CA749" s="147"/>
      <c r="CB749" s="147"/>
      <c r="CC749" s="147"/>
      <c r="CD749" s="147"/>
      <c r="CE749" s="147"/>
      <c r="CF749" s="147"/>
      <c r="CG749" s="147"/>
      <c r="CH749" s="147"/>
      <c r="CI749" s="147"/>
      <c r="CJ749" s="147"/>
      <c r="CK749" s="147"/>
    </row>
    <row r="750" spans="1:89">
      <c r="A750" s="147"/>
      <c r="B750" s="147"/>
      <c r="C750" s="147"/>
      <c r="D750" s="147"/>
      <c r="E750" s="147"/>
      <c r="F750" s="147"/>
      <c r="G750" s="147"/>
      <c r="H750" s="147"/>
      <c r="I750" s="147"/>
      <c r="J750" s="147"/>
      <c r="K750" s="147"/>
      <c r="L750" s="147"/>
      <c r="M750" s="147"/>
      <c r="N750" s="147"/>
      <c r="O750" s="158"/>
      <c r="P750" s="147"/>
      <c r="Q750" s="147"/>
      <c r="R750" s="147"/>
      <c r="S750" s="147"/>
      <c r="T750" s="147"/>
      <c r="U750" s="147"/>
      <c r="V750" s="147"/>
      <c r="W750" s="147"/>
      <c r="X750" s="147"/>
      <c r="Y750" s="147"/>
      <c r="Z750" s="147"/>
      <c r="AA750" s="147"/>
      <c r="AB750" s="147"/>
      <c r="AC750" s="147"/>
      <c r="AD750" s="147"/>
      <c r="AE750" s="147"/>
      <c r="AF750" s="147"/>
      <c r="AG750" s="147"/>
      <c r="AH750" s="147"/>
      <c r="AI750" s="147"/>
      <c r="AJ750" s="147"/>
      <c r="AK750" s="147"/>
      <c r="AL750" s="147"/>
      <c r="AM750" s="147"/>
      <c r="AN750" s="147"/>
      <c r="AO750" s="147"/>
      <c r="AP750" s="147"/>
      <c r="AQ750" s="147"/>
      <c r="AR750" s="147"/>
      <c r="AS750" s="147"/>
      <c r="AT750" s="147"/>
      <c r="AU750" s="147"/>
      <c r="AV750" s="147"/>
      <c r="AW750" s="147"/>
      <c r="AX750" s="147"/>
      <c r="AY750" s="147"/>
      <c r="AZ750" s="147"/>
      <c r="BA750" s="147"/>
      <c r="BB750" s="147"/>
      <c r="BC750" s="147"/>
      <c r="BD750" s="147"/>
      <c r="BE750" s="147"/>
      <c r="BF750" s="147"/>
      <c r="BG750" s="147"/>
      <c r="BH750" s="147"/>
      <c r="BI750" s="147"/>
      <c r="BJ750" s="147"/>
      <c r="BK750" s="147"/>
      <c r="BL750" s="147"/>
      <c r="BM750" s="147"/>
      <c r="BN750" s="147"/>
      <c r="BO750" s="147"/>
      <c r="BP750" s="147"/>
      <c r="BQ750" s="147"/>
      <c r="BR750" s="147"/>
      <c r="BS750" s="147"/>
      <c r="BT750" s="147"/>
      <c r="BU750" s="147"/>
      <c r="BV750" s="147"/>
      <c r="BW750" s="147"/>
      <c r="BX750" s="147"/>
      <c r="BY750" s="147"/>
      <c r="BZ750" s="147"/>
      <c r="CA750" s="147"/>
      <c r="CB750" s="147"/>
      <c r="CC750" s="147"/>
      <c r="CD750" s="147"/>
      <c r="CE750" s="147"/>
      <c r="CF750" s="147"/>
      <c r="CG750" s="147"/>
      <c r="CH750" s="147"/>
      <c r="CI750" s="147"/>
      <c r="CJ750" s="147"/>
      <c r="CK750" s="147"/>
    </row>
    <row r="751" spans="1:89">
      <c r="A751" s="147"/>
      <c r="B751" s="147"/>
      <c r="C751" s="147"/>
      <c r="D751" s="147"/>
      <c r="E751" s="147"/>
      <c r="F751" s="147"/>
      <c r="G751" s="147"/>
      <c r="H751" s="147"/>
      <c r="I751" s="147"/>
      <c r="J751" s="147"/>
      <c r="K751" s="147"/>
      <c r="L751" s="147"/>
      <c r="M751" s="147"/>
      <c r="N751" s="147"/>
      <c r="O751" s="158"/>
      <c r="P751" s="147"/>
      <c r="Q751" s="147"/>
      <c r="R751" s="147"/>
      <c r="S751" s="147"/>
      <c r="T751" s="147"/>
      <c r="U751" s="147"/>
      <c r="V751" s="147"/>
      <c r="W751" s="147"/>
      <c r="X751" s="147"/>
      <c r="Y751" s="147"/>
      <c r="Z751" s="147"/>
      <c r="AA751" s="147"/>
      <c r="AB751" s="147"/>
      <c r="AC751" s="147"/>
      <c r="AD751" s="147"/>
      <c r="AE751" s="147"/>
      <c r="AF751" s="147"/>
      <c r="AG751" s="147"/>
      <c r="AH751" s="147"/>
      <c r="AI751" s="147"/>
      <c r="AJ751" s="147"/>
      <c r="AK751" s="147"/>
      <c r="AL751" s="147"/>
      <c r="AM751" s="147"/>
      <c r="AN751" s="147"/>
      <c r="AO751" s="147"/>
      <c r="AP751" s="147"/>
      <c r="AQ751" s="147"/>
      <c r="AR751" s="147"/>
      <c r="AS751" s="147"/>
      <c r="AT751" s="147"/>
      <c r="AU751" s="147"/>
      <c r="AV751" s="147"/>
      <c r="AW751" s="147"/>
      <c r="AX751" s="147"/>
      <c r="AY751" s="147"/>
      <c r="AZ751" s="147"/>
      <c r="BA751" s="147"/>
      <c r="BB751" s="147"/>
      <c r="BC751" s="147"/>
      <c r="BD751" s="147"/>
      <c r="BE751" s="147"/>
      <c r="BF751" s="147"/>
      <c r="BG751" s="147"/>
      <c r="BH751" s="147"/>
      <c r="BI751" s="147"/>
      <c r="BJ751" s="147"/>
      <c r="BK751" s="147"/>
      <c r="BL751" s="147"/>
      <c r="BM751" s="147"/>
      <c r="BN751" s="147"/>
      <c r="BO751" s="147"/>
      <c r="BP751" s="147"/>
      <c r="BQ751" s="147"/>
      <c r="BR751" s="147"/>
      <c r="BS751" s="147"/>
      <c r="BT751" s="147"/>
      <c r="BU751" s="147"/>
      <c r="BV751" s="147"/>
      <c r="BW751" s="147"/>
      <c r="BX751" s="147"/>
      <c r="BY751" s="147"/>
      <c r="BZ751" s="147"/>
      <c r="CA751" s="147"/>
      <c r="CB751" s="147"/>
      <c r="CC751" s="147"/>
      <c r="CD751" s="147"/>
      <c r="CE751" s="147"/>
      <c r="CF751" s="147"/>
      <c r="CG751" s="147"/>
      <c r="CH751" s="147"/>
      <c r="CI751" s="147"/>
      <c r="CJ751" s="147"/>
      <c r="CK751" s="147"/>
    </row>
    <row r="752" spans="1:89">
      <c r="A752" s="147"/>
      <c r="B752" s="147"/>
      <c r="C752" s="147"/>
      <c r="D752" s="147"/>
      <c r="E752" s="147"/>
      <c r="F752" s="147"/>
      <c r="G752" s="147"/>
      <c r="H752" s="147"/>
      <c r="I752" s="147"/>
      <c r="J752" s="147"/>
      <c r="K752" s="147"/>
      <c r="L752" s="147"/>
      <c r="M752" s="147"/>
      <c r="N752" s="147"/>
      <c r="O752" s="158"/>
      <c r="P752" s="147"/>
      <c r="Q752" s="147"/>
      <c r="R752" s="147"/>
      <c r="S752" s="147"/>
      <c r="T752" s="147"/>
      <c r="U752" s="147"/>
      <c r="V752" s="147"/>
      <c r="W752" s="147"/>
      <c r="X752" s="147"/>
      <c r="Y752" s="147"/>
      <c r="Z752" s="147"/>
      <c r="AA752" s="147"/>
      <c r="AB752" s="147"/>
      <c r="AC752" s="147"/>
      <c r="AD752" s="147"/>
      <c r="AE752" s="147"/>
      <c r="AF752" s="147"/>
      <c r="AG752" s="147"/>
      <c r="AH752" s="147"/>
      <c r="AI752" s="147"/>
      <c r="AJ752" s="147"/>
      <c r="AK752" s="147"/>
      <c r="AL752" s="147"/>
      <c r="AM752" s="147"/>
      <c r="AN752" s="147"/>
      <c r="AO752" s="147"/>
      <c r="AP752" s="147"/>
      <c r="AQ752" s="147"/>
      <c r="AR752" s="147"/>
      <c r="AS752" s="147"/>
      <c r="AT752" s="147"/>
      <c r="AU752" s="147"/>
      <c r="AV752" s="147"/>
      <c r="AW752" s="147"/>
      <c r="AX752" s="147"/>
      <c r="AY752" s="147"/>
      <c r="AZ752" s="147"/>
      <c r="BA752" s="147"/>
      <c r="BB752" s="147"/>
      <c r="BC752" s="147"/>
      <c r="BD752" s="147"/>
      <c r="BE752" s="147"/>
      <c r="BF752" s="147"/>
      <c r="BG752" s="147"/>
      <c r="BH752" s="147"/>
      <c r="BI752" s="147"/>
      <c r="BJ752" s="147"/>
      <c r="BK752" s="147"/>
      <c r="BL752" s="147"/>
      <c r="BM752" s="147"/>
      <c r="BN752" s="147"/>
      <c r="BO752" s="147"/>
      <c r="BP752" s="147"/>
      <c r="BQ752" s="147"/>
      <c r="BR752" s="147"/>
      <c r="BS752" s="147"/>
      <c r="BT752" s="147"/>
      <c r="BU752" s="147"/>
      <c r="BV752" s="147"/>
      <c r="BW752" s="147"/>
      <c r="BX752" s="147"/>
      <c r="BY752" s="147"/>
      <c r="BZ752" s="147"/>
      <c r="CA752" s="147"/>
      <c r="CB752" s="147"/>
      <c r="CC752" s="147"/>
      <c r="CD752" s="147"/>
      <c r="CE752" s="147"/>
      <c r="CF752" s="147"/>
      <c r="CG752" s="147"/>
      <c r="CH752" s="147"/>
      <c r="CI752" s="147"/>
      <c r="CJ752" s="147"/>
      <c r="CK752" s="147"/>
    </row>
    <row r="753" spans="1:89">
      <c r="A753" s="147"/>
      <c r="B753" s="147"/>
      <c r="C753" s="147"/>
      <c r="D753" s="147"/>
      <c r="E753" s="147"/>
      <c r="F753" s="147"/>
      <c r="G753" s="147"/>
      <c r="H753" s="147"/>
      <c r="I753" s="147"/>
      <c r="J753" s="147"/>
      <c r="K753" s="147"/>
      <c r="L753" s="147"/>
      <c r="M753" s="147"/>
      <c r="N753" s="147"/>
      <c r="O753" s="158"/>
      <c r="P753" s="147"/>
      <c r="Q753" s="147"/>
      <c r="R753" s="147"/>
      <c r="S753" s="147"/>
      <c r="T753" s="147"/>
      <c r="U753" s="147"/>
      <c r="V753" s="147"/>
      <c r="W753" s="147"/>
      <c r="X753" s="147"/>
      <c r="Y753" s="147"/>
      <c r="Z753" s="147"/>
      <c r="AA753" s="147"/>
      <c r="AB753" s="147"/>
      <c r="AC753" s="147"/>
      <c r="AD753" s="147"/>
      <c r="AE753" s="147"/>
      <c r="AF753" s="147"/>
      <c r="AG753" s="147"/>
      <c r="AH753" s="147"/>
      <c r="AI753" s="147"/>
      <c r="AJ753" s="147"/>
      <c r="AK753" s="147"/>
      <c r="AL753" s="147"/>
      <c r="AM753" s="147"/>
      <c r="AN753" s="147"/>
      <c r="AO753" s="147"/>
      <c r="AP753" s="147"/>
      <c r="AQ753" s="147"/>
      <c r="AR753" s="147"/>
      <c r="AS753" s="147"/>
      <c r="AT753" s="147"/>
      <c r="AU753" s="147"/>
      <c r="AV753" s="147"/>
      <c r="AW753" s="147"/>
      <c r="AX753" s="147"/>
      <c r="AY753" s="147"/>
      <c r="AZ753" s="147"/>
      <c r="BA753" s="147"/>
      <c r="BB753" s="147"/>
      <c r="BC753" s="147"/>
      <c r="BD753" s="147"/>
      <c r="BE753" s="147"/>
      <c r="BF753" s="147"/>
      <c r="BG753" s="147"/>
      <c r="BH753" s="147"/>
      <c r="BI753" s="147"/>
      <c r="BJ753" s="147"/>
      <c r="BK753" s="147"/>
      <c r="BL753" s="147"/>
      <c r="BM753" s="147"/>
      <c r="BN753" s="147"/>
      <c r="BO753" s="147"/>
      <c r="BP753" s="147"/>
      <c r="BQ753" s="147"/>
      <c r="BR753" s="147"/>
      <c r="BS753" s="147"/>
      <c r="BT753" s="147"/>
      <c r="BU753" s="147"/>
      <c r="BV753" s="147"/>
      <c r="BW753" s="147"/>
      <c r="BX753" s="147"/>
      <c r="BY753" s="147"/>
      <c r="BZ753" s="147"/>
      <c r="CA753" s="147"/>
      <c r="CB753" s="147"/>
      <c r="CC753" s="147"/>
      <c r="CD753" s="147"/>
      <c r="CE753" s="147"/>
      <c r="CF753" s="147"/>
      <c r="CG753" s="147"/>
      <c r="CH753" s="147"/>
      <c r="CI753" s="147"/>
      <c r="CJ753" s="147"/>
      <c r="CK753" s="147"/>
    </row>
    <row r="754" spans="1:89">
      <c r="A754" s="147"/>
      <c r="B754" s="147"/>
      <c r="C754" s="147"/>
      <c r="D754" s="147"/>
      <c r="E754" s="147"/>
      <c r="F754" s="147"/>
      <c r="G754" s="147"/>
      <c r="H754" s="147"/>
      <c r="I754" s="147"/>
      <c r="J754" s="147"/>
      <c r="K754" s="147"/>
      <c r="L754" s="147"/>
      <c r="M754" s="147"/>
      <c r="N754" s="147"/>
      <c r="O754" s="158"/>
      <c r="P754" s="147"/>
      <c r="Q754" s="147"/>
      <c r="R754" s="147"/>
      <c r="S754" s="147"/>
      <c r="T754" s="147"/>
      <c r="U754" s="147"/>
      <c r="V754" s="147"/>
      <c r="W754" s="147"/>
      <c r="X754" s="147"/>
      <c r="Y754" s="147"/>
      <c r="Z754" s="147"/>
      <c r="AA754" s="147"/>
      <c r="AB754" s="147"/>
      <c r="AC754" s="147"/>
      <c r="AD754" s="147"/>
      <c r="AE754" s="147"/>
      <c r="AF754" s="147"/>
      <c r="AG754" s="147"/>
      <c r="AH754" s="147"/>
      <c r="AI754" s="147"/>
      <c r="AJ754" s="147"/>
      <c r="AK754" s="147"/>
      <c r="AL754" s="147"/>
      <c r="AM754" s="147"/>
      <c r="AN754" s="147"/>
      <c r="AO754" s="147"/>
      <c r="AP754" s="147"/>
      <c r="AQ754" s="147"/>
      <c r="AR754" s="147"/>
      <c r="AS754" s="147"/>
      <c r="AT754" s="147"/>
      <c r="AU754" s="147"/>
      <c r="AV754" s="147"/>
      <c r="AW754" s="147"/>
      <c r="AX754" s="147"/>
      <c r="AY754" s="147"/>
      <c r="AZ754" s="147"/>
      <c r="BA754" s="147"/>
      <c r="BB754" s="147"/>
      <c r="BC754" s="147"/>
      <c r="BD754" s="147"/>
      <c r="BE754" s="147"/>
      <c r="BF754" s="147"/>
      <c r="BG754" s="147"/>
      <c r="BH754" s="147"/>
      <c r="BI754" s="147"/>
      <c r="BJ754" s="147"/>
      <c r="BK754" s="147"/>
      <c r="BL754" s="147"/>
      <c r="BM754" s="147"/>
      <c r="BN754" s="147"/>
      <c r="BO754" s="147"/>
      <c r="BP754" s="147"/>
      <c r="BQ754" s="147"/>
      <c r="BR754" s="147"/>
      <c r="BS754" s="147"/>
      <c r="BT754" s="147"/>
      <c r="BU754" s="147"/>
      <c r="BV754" s="147"/>
      <c r="BW754" s="147"/>
      <c r="BX754" s="147"/>
      <c r="BY754" s="147"/>
      <c r="BZ754" s="147"/>
      <c r="CA754" s="147"/>
      <c r="CB754" s="147"/>
      <c r="CC754" s="147"/>
      <c r="CD754" s="147"/>
      <c r="CE754" s="147"/>
      <c r="CF754" s="147"/>
      <c r="CG754" s="147"/>
      <c r="CH754" s="147"/>
      <c r="CI754" s="147"/>
      <c r="CJ754" s="147"/>
      <c r="CK754" s="147"/>
    </row>
    <row r="755" spans="1:89">
      <c r="A755" s="147"/>
      <c r="B755" s="147"/>
      <c r="C755" s="147"/>
      <c r="D755" s="147"/>
      <c r="E755" s="147"/>
      <c r="F755" s="147"/>
      <c r="G755" s="147"/>
      <c r="H755" s="147"/>
      <c r="I755" s="147"/>
      <c r="J755" s="147"/>
      <c r="K755" s="147"/>
      <c r="L755" s="147"/>
      <c r="M755" s="147"/>
      <c r="N755" s="147"/>
      <c r="O755" s="158"/>
      <c r="P755" s="147"/>
      <c r="Q755" s="147"/>
      <c r="R755" s="147"/>
      <c r="S755" s="147"/>
      <c r="T755" s="147"/>
      <c r="U755" s="147"/>
      <c r="V755" s="147"/>
      <c r="W755" s="147"/>
      <c r="X755" s="147"/>
      <c r="Y755" s="147"/>
      <c r="Z755" s="147"/>
      <c r="AA755" s="147"/>
      <c r="AB755" s="147"/>
      <c r="AC755" s="147"/>
      <c r="AD755" s="147"/>
      <c r="AE755" s="147"/>
      <c r="AF755" s="147"/>
      <c r="AG755" s="147"/>
      <c r="AH755" s="147"/>
      <c r="AI755" s="147"/>
      <c r="AJ755" s="147"/>
      <c r="AK755" s="147"/>
      <c r="AL755" s="147"/>
      <c r="AM755" s="147"/>
      <c r="AN755" s="147"/>
      <c r="AO755" s="147"/>
      <c r="AP755" s="147"/>
      <c r="AQ755" s="147"/>
      <c r="AR755" s="147"/>
      <c r="AS755" s="147"/>
      <c r="AT755" s="147"/>
      <c r="AU755" s="147"/>
      <c r="AV755" s="147"/>
      <c r="AW755" s="147"/>
      <c r="AX755" s="147"/>
      <c r="AY755" s="147"/>
      <c r="AZ755" s="147"/>
      <c r="BA755" s="147"/>
      <c r="BB755" s="147"/>
      <c r="BC755" s="147"/>
      <c r="BD755" s="147"/>
      <c r="BE755" s="147"/>
      <c r="BF755" s="147"/>
      <c r="BG755" s="147"/>
      <c r="BH755" s="147"/>
      <c r="BI755" s="147"/>
      <c r="BJ755" s="147"/>
      <c r="BK755" s="147"/>
      <c r="BL755" s="147"/>
      <c r="BM755" s="147"/>
      <c r="BN755" s="147"/>
      <c r="BO755" s="147"/>
      <c r="BP755" s="147"/>
      <c r="BQ755" s="147"/>
      <c r="BR755" s="147"/>
      <c r="BS755" s="147"/>
      <c r="BT755" s="147"/>
      <c r="BU755" s="147"/>
      <c r="BV755" s="147"/>
      <c r="BW755" s="147"/>
      <c r="BX755" s="147"/>
      <c r="BY755" s="147"/>
      <c r="BZ755" s="147"/>
      <c r="CA755" s="147"/>
      <c r="CB755" s="147"/>
      <c r="CC755" s="147"/>
      <c r="CD755" s="147"/>
      <c r="CE755" s="147"/>
      <c r="CF755" s="147"/>
      <c r="CG755" s="147"/>
      <c r="CH755" s="147"/>
      <c r="CI755" s="147"/>
      <c r="CJ755" s="147"/>
      <c r="CK755" s="147"/>
    </row>
    <row r="756" spans="1:89">
      <c r="A756" s="147"/>
      <c r="B756" s="147"/>
      <c r="C756" s="147"/>
      <c r="D756" s="147"/>
      <c r="E756" s="147"/>
      <c r="F756" s="147"/>
      <c r="G756" s="147"/>
      <c r="H756" s="147"/>
      <c r="I756" s="147"/>
      <c r="J756" s="147"/>
      <c r="K756" s="147"/>
      <c r="L756" s="147"/>
      <c r="M756" s="147"/>
      <c r="N756" s="147"/>
      <c r="O756" s="158"/>
      <c r="P756" s="147"/>
      <c r="Q756" s="147"/>
      <c r="R756" s="147"/>
      <c r="S756" s="147"/>
      <c r="T756" s="147"/>
      <c r="U756" s="147"/>
      <c r="V756" s="147"/>
      <c r="W756" s="147"/>
      <c r="X756" s="147"/>
      <c r="Y756" s="147"/>
      <c r="Z756" s="147"/>
      <c r="AA756" s="147"/>
      <c r="AB756" s="147"/>
      <c r="AC756" s="147"/>
      <c r="AD756" s="147"/>
      <c r="AE756" s="147"/>
      <c r="AF756" s="147"/>
      <c r="AG756" s="147"/>
      <c r="AH756" s="147"/>
      <c r="AI756" s="147"/>
      <c r="AJ756" s="147"/>
      <c r="AK756" s="147"/>
      <c r="AL756" s="147"/>
      <c r="AM756" s="147"/>
      <c r="AN756" s="147"/>
      <c r="AO756" s="147"/>
      <c r="AP756" s="147"/>
      <c r="AQ756" s="147"/>
      <c r="AR756" s="147"/>
      <c r="AS756" s="147"/>
      <c r="AT756" s="147"/>
      <c r="AU756" s="147"/>
      <c r="AV756" s="147"/>
      <c r="AW756" s="147"/>
      <c r="AX756" s="147"/>
      <c r="AY756" s="147"/>
      <c r="AZ756" s="147"/>
      <c r="BA756" s="147"/>
      <c r="BB756" s="147"/>
      <c r="BC756" s="147"/>
      <c r="BD756" s="147"/>
      <c r="BE756" s="147"/>
      <c r="BF756" s="147"/>
      <c r="BG756" s="147"/>
      <c r="BH756" s="147"/>
      <c r="BI756" s="147"/>
      <c r="BJ756" s="147"/>
      <c r="BK756" s="147"/>
      <c r="BL756" s="147"/>
      <c r="BM756" s="147"/>
      <c r="BN756" s="147"/>
      <c r="BO756" s="147"/>
      <c r="BP756" s="147"/>
      <c r="BQ756" s="147"/>
      <c r="BR756" s="147"/>
      <c r="BS756" s="147"/>
      <c r="BT756" s="147"/>
      <c r="BU756" s="147"/>
      <c r="BV756" s="147"/>
      <c r="BW756" s="147"/>
      <c r="BX756" s="147"/>
      <c r="BY756" s="147"/>
      <c r="BZ756" s="147"/>
      <c r="CA756" s="147"/>
      <c r="CB756" s="147"/>
      <c r="CC756" s="147"/>
      <c r="CD756" s="147"/>
      <c r="CE756" s="147"/>
      <c r="CF756" s="147"/>
      <c r="CG756" s="147"/>
      <c r="CH756" s="147"/>
      <c r="CI756" s="147"/>
      <c r="CJ756" s="147"/>
      <c r="CK756" s="147"/>
    </row>
    <row r="757" spans="1:89">
      <c r="A757" s="147"/>
      <c r="B757" s="147"/>
      <c r="C757" s="147"/>
      <c r="D757" s="147"/>
      <c r="E757" s="147"/>
      <c r="F757" s="147"/>
      <c r="G757" s="147"/>
      <c r="H757" s="147"/>
      <c r="I757" s="147"/>
      <c r="J757" s="147"/>
      <c r="K757" s="147"/>
      <c r="L757" s="147"/>
      <c r="M757" s="147"/>
      <c r="N757" s="147"/>
      <c r="O757" s="158"/>
      <c r="P757" s="147"/>
      <c r="Q757" s="147"/>
      <c r="R757" s="147"/>
      <c r="S757" s="147"/>
      <c r="T757" s="147"/>
      <c r="U757" s="147"/>
      <c r="V757" s="147"/>
      <c r="W757" s="147"/>
      <c r="X757" s="147"/>
      <c r="Y757" s="147"/>
      <c r="Z757" s="147"/>
      <c r="AA757" s="147"/>
      <c r="AB757" s="147"/>
      <c r="AC757" s="147"/>
      <c r="AD757" s="147"/>
      <c r="AE757" s="147"/>
      <c r="AF757" s="147"/>
      <c r="AG757" s="147"/>
      <c r="AH757" s="147"/>
      <c r="AI757" s="147"/>
      <c r="AJ757" s="147"/>
      <c r="AK757" s="147"/>
      <c r="AL757" s="147"/>
      <c r="AM757" s="147"/>
      <c r="AN757" s="147"/>
      <c r="AO757" s="147"/>
      <c r="AP757" s="147"/>
      <c r="AQ757" s="147"/>
      <c r="AR757" s="147"/>
      <c r="AS757" s="147"/>
      <c r="AT757" s="147"/>
      <c r="AU757" s="147"/>
      <c r="AV757" s="147"/>
      <c r="AW757" s="147"/>
      <c r="AX757" s="147"/>
      <c r="AY757" s="147"/>
      <c r="AZ757" s="147"/>
      <c r="BA757" s="147"/>
      <c r="BB757" s="147"/>
      <c r="BC757" s="147"/>
      <c r="BD757" s="147"/>
      <c r="BE757" s="147"/>
      <c r="BF757" s="147"/>
      <c r="BG757" s="147"/>
      <c r="BH757" s="147"/>
      <c r="BI757" s="147"/>
      <c r="BJ757" s="147"/>
      <c r="BK757" s="147"/>
      <c r="BL757" s="147"/>
      <c r="BM757" s="147"/>
      <c r="BN757" s="147"/>
      <c r="BO757" s="147"/>
      <c r="BP757" s="147"/>
      <c r="BQ757" s="147"/>
      <c r="BR757" s="147"/>
      <c r="BS757" s="147"/>
      <c r="BT757" s="147"/>
      <c r="BU757" s="147"/>
      <c r="BV757" s="147"/>
      <c r="BW757" s="147"/>
      <c r="BX757" s="147"/>
      <c r="BY757" s="147"/>
      <c r="BZ757" s="147"/>
      <c r="CA757" s="147"/>
      <c r="CB757" s="147"/>
      <c r="CC757" s="147"/>
      <c r="CD757" s="147"/>
      <c r="CE757" s="147"/>
      <c r="CF757" s="147"/>
      <c r="CG757" s="147"/>
      <c r="CH757" s="147"/>
      <c r="CI757" s="147"/>
      <c r="CJ757" s="147"/>
      <c r="CK757" s="147"/>
    </row>
    <row r="758" spans="1:89">
      <c r="A758" s="147"/>
      <c r="B758" s="147"/>
      <c r="C758" s="147"/>
      <c r="D758" s="147"/>
      <c r="E758" s="147"/>
      <c r="F758" s="147"/>
      <c r="G758" s="147"/>
      <c r="H758" s="147"/>
      <c r="I758" s="147"/>
      <c r="J758" s="147"/>
      <c r="K758" s="147"/>
      <c r="L758" s="147"/>
      <c r="M758" s="147"/>
      <c r="N758" s="147"/>
      <c r="O758" s="158"/>
      <c r="P758" s="147"/>
      <c r="Q758" s="147"/>
      <c r="R758" s="147"/>
      <c r="S758" s="147"/>
      <c r="T758" s="147"/>
      <c r="U758" s="147"/>
      <c r="V758" s="147"/>
      <c r="W758" s="147"/>
      <c r="X758" s="147"/>
      <c r="Y758" s="147"/>
      <c r="Z758" s="147"/>
      <c r="AA758" s="147"/>
      <c r="AB758" s="147"/>
      <c r="AC758" s="147"/>
      <c r="AD758" s="147"/>
      <c r="AE758" s="147"/>
      <c r="AF758" s="147"/>
      <c r="AG758" s="147"/>
      <c r="AH758" s="147"/>
      <c r="AI758" s="147"/>
      <c r="AJ758" s="147"/>
      <c r="AK758" s="147"/>
      <c r="AL758" s="147"/>
      <c r="AM758" s="147"/>
      <c r="AN758" s="147"/>
      <c r="AO758" s="147"/>
      <c r="AP758" s="147"/>
      <c r="AQ758" s="147"/>
      <c r="AR758" s="147"/>
      <c r="AS758" s="147"/>
      <c r="AT758" s="147"/>
      <c r="AU758" s="147"/>
      <c r="AV758" s="147"/>
      <c r="AW758" s="147"/>
      <c r="AX758" s="147"/>
      <c r="AY758" s="147"/>
      <c r="AZ758" s="147"/>
      <c r="BA758" s="147"/>
      <c r="BB758" s="147"/>
      <c r="BC758" s="147"/>
      <c r="BD758" s="147"/>
      <c r="BE758" s="147"/>
      <c r="BF758" s="147"/>
      <c r="BG758" s="147"/>
      <c r="BH758" s="147"/>
      <c r="BI758" s="147"/>
      <c r="BJ758" s="147"/>
      <c r="BK758" s="147"/>
      <c r="BL758" s="147"/>
      <c r="BM758" s="147"/>
      <c r="BN758" s="147"/>
      <c r="BO758" s="147"/>
      <c r="BP758" s="147"/>
      <c r="BQ758" s="147"/>
      <c r="BR758" s="147"/>
      <c r="BS758" s="147"/>
      <c r="BT758" s="147"/>
      <c r="BU758" s="147"/>
      <c r="BV758" s="147"/>
      <c r="BW758" s="147"/>
      <c r="BX758" s="147"/>
      <c r="BY758" s="147"/>
      <c r="BZ758" s="147"/>
      <c r="CA758" s="147"/>
      <c r="CB758" s="147"/>
      <c r="CC758" s="147"/>
      <c r="CD758" s="147"/>
      <c r="CE758" s="147"/>
      <c r="CF758" s="147"/>
      <c r="CG758" s="147"/>
      <c r="CH758" s="147"/>
      <c r="CI758" s="147"/>
      <c r="CJ758" s="147"/>
      <c r="CK758" s="147"/>
    </row>
    <row r="759" spans="1:89">
      <c r="A759" s="147"/>
      <c r="B759" s="147"/>
      <c r="C759" s="147"/>
      <c r="D759" s="147"/>
      <c r="E759" s="147"/>
      <c r="F759" s="147"/>
      <c r="G759" s="147"/>
      <c r="H759" s="147"/>
      <c r="I759" s="147"/>
      <c r="J759" s="147"/>
      <c r="K759" s="147"/>
      <c r="L759" s="147"/>
      <c r="M759" s="147"/>
      <c r="N759" s="147"/>
      <c r="O759" s="158"/>
      <c r="P759" s="147"/>
      <c r="Q759" s="147"/>
      <c r="R759" s="147"/>
      <c r="S759" s="147"/>
      <c r="T759" s="147"/>
      <c r="U759" s="147"/>
      <c r="V759" s="147"/>
      <c r="W759" s="147"/>
      <c r="X759" s="147"/>
      <c r="Y759" s="147"/>
      <c r="Z759" s="147"/>
      <c r="AA759" s="147"/>
      <c r="AB759" s="147"/>
      <c r="AC759" s="147"/>
      <c r="AD759" s="147"/>
      <c r="AE759" s="147"/>
      <c r="AF759" s="147"/>
      <c r="AG759" s="147"/>
      <c r="AH759" s="147"/>
      <c r="AI759" s="147"/>
      <c r="AJ759" s="147"/>
      <c r="AK759" s="147"/>
      <c r="AL759" s="147"/>
      <c r="AM759" s="147"/>
      <c r="AN759" s="147"/>
      <c r="AO759" s="147"/>
      <c r="AP759" s="147"/>
      <c r="AQ759" s="147"/>
      <c r="AR759" s="147"/>
      <c r="AS759" s="147"/>
      <c r="AT759" s="147"/>
      <c r="AU759" s="147"/>
      <c r="AV759" s="147"/>
      <c r="AW759" s="147"/>
      <c r="AX759" s="147"/>
      <c r="AY759" s="147"/>
      <c r="AZ759" s="147"/>
      <c r="BA759" s="147"/>
      <c r="BB759" s="147"/>
      <c r="BC759" s="147"/>
      <c r="BD759" s="147"/>
      <c r="BE759" s="147"/>
      <c r="BF759" s="147"/>
      <c r="BG759" s="147"/>
      <c r="BH759" s="147"/>
      <c r="BI759" s="147"/>
      <c r="BJ759" s="147"/>
      <c r="BK759" s="147"/>
      <c r="BL759" s="147"/>
      <c r="BM759" s="147"/>
      <c r="BN759" s="147"/>
      <c r="BO759" s="147"/>
      <c r="BP759" s="147"/>
      <c r="BQ759" s="147"/>
      <c r="BR759" s="147"/>
      <c r="BS759" s="147"/>
      <c r="BT759" s="147"/>
      <c r="BU759" s="147"/>
      <c r="BV759" s="147"/>
      <c r="BW759" s="147"/>
      <c r="BX759" s="147"/>
      <c r="BY759" s="147"/>
      <c r="BZ759" s="147"/>
      <c r="CA759" s="147"/>
      <c r="CB759" s="147"/>
      <c r="CC759" s="147"/>
      <c r="CD759" s="147"/>
      <c r="CE759" s="147"/>
      <c r="CF759" s="147"/>
      <c r="CG759" s="147"/>
      <c r="CH759" s="147"/>
      <c r="CI759" s="147"/>
      <c r="CJ759" s="147"/>
      <c r="CK759" s="147"/>
    </row>
    <row r="760" spans="1:89">
      <c r="A760" s="147"/>
      <c r="B760" s="147"/>
      <c r="C760" s="147"/>
      <c r="D760" s="147"/>
      <c r="E760" s="147"/>
      <c r="F760" s="147"/>
      <c r="G760" s="147"/>
      <c r="H760" s="147"/>
      <c r="I760" s="147"/>
      <c r="J760" s="147"/>
      <c r="K760" s="147"/>
      <c r="L760" s="147"/>
      <c r="M760" s="147"/>
      <c r="N760" s="147"/>
      <c r="O760" s="158"/>
      <c r="P760" s="147"/>
      <c r="Q760" s="147"/>
      <c r="R760" s="147"/>
      <c r="S760" s="147"/>
      <c r="T760" s="147"/>
      <c r="U760" s="147"/>
      <c r="V760" s="147"/>
      <c r="W760" s="147"/>
      <c r="X760" s="147"/>
      <c r="Y760" s="147"/>
      <c r="Z760" s="147"/>
      <c r="AA760" s="147"/>
      <c r="AB760" s="147"/>
      <c r="AC760" s="147"/>
      <c r="AD760" s="147"/>
      <c r="AE760" s="147"/>
      <c r="AF760" s="147"/>
      <c r="AG760" s="147"/>
      <c r="AH760" s="147"/>
      <c r="AI760" s="147"/>
      <c r="AJ760" s="147"/>
      <c r="AK760" s="147"/>
      <c r="AL760" s="147"/>
      <c r="AM760" s="147"/>
      <c r="AN760" s="147"/>
      <c r="AO760" s="147"/>
      <c r="AP760" s="147"/>
      <c r="AQ760" s="147"/>
      <c r="AR760" s="147"/>
      <c r="AS760" s="147"/>
      <c r="AT760" s="147"/>
      <c r="AU760" s="147"/>
      <c r="AV760" s="147"/>
      <c r="AW760" s="147"/>
      <c r="AX760" s="147"/>
      <c r="AY760" s="147"/>
      <c r="AZ760" s="147"/>
      <c r="BA760" s="147"/>
      <c r="BB760" s="147"/>
      <c r="BC760" s="147"/>
      <c r="BD760" s="147"/>
      <c r="BE760" s="147"/>
      <c r="BF760" s="147"/>
      <c r="BG760" s="147"/>
      <c r="BH760" s="147"/>
      <c r="BI760" s="147"/>
      <c r="BJ760" s="147"/>
      <c r="BK760" s="147"/>
      <c r="BL760" s="147"/>
      <c r="BM760" s="147"/>
      <c r="BN760" s="147"/>
      <c r="BO760" s="147"/>
      <c r="BP760" s="147"/>
      <c r="BQ760" s="147"/>
      <c r="BR760" s="147"/>
      <c r="BS760" s="147"/>
      <c r="BT760" s="147"/>
      <c r="BU760" s="147"/>
      <c r="BV760" s="147"/>
      <c r="BW760" s="147"/>
      <c r="BX760" s="147"/>
      <c r="BY760" s="147"/>
      <c r="BZ760" s="147"/>
      <c r="CA760" s="147"/>
      <c r="CB760" s="147"/>
      <c r="CC760" s="147"/>
      <c r="CD760" s="147"/>
      <c r="CE760" s="147"/>
      <c r="CF760" s="147"/>
      <c r="CG760" s="147"/>
      <c r="CH760" s="147"/>
      <c r="CI760" s="147"/>
      <c r="CJ760" s="147"/>
      <c r="CK760" s="147"/>
    </row>
    <row r="761" spans="1:89">
      <c r="A761" s="147"/>
      <c r="B761" s="147"/>
      <c r="C761" s="147"/>
      <c r="D761" s="147"/>
      <c r="E761" s="147"/>
      <c r="F761" s="147"/>
      <c r="G761" s="147"/>
      <c r="H761" s="147"/>
      <c r="I761" s="147"/>
      <c r="J761" s="147"/>
      <c r="K761" s="147"/>
      <c r="L761" s="147"/>
      <c r="M761" s="147"/>
      <c r="N761" s="147"/>
      <c r="O761" s="158"/>
      <c r="P761" s="147"/>
      <c r="Q761" s="147"/>
      <c r="R761" s="147"/>
      <c r="S761" s="147"/>
      <c r="T761" s="147"/>
      <c r="U761" s="147"/>
      <c r="V761" s="147"/>
      <c r="W761" s="147"/>
      <c r="X761" s="147"/>
      <c r="Y761" s="147"/>
      <c r="Z761" s="147"/>
      <c r="AA761" s="147"/>
      <c r="AB761" s="147"/>
      <c r="AC761" s="147"/>
      <c r="AD761" s="147"/>
      <c r="AE761" s="147"/>
      <c r="AF761" s="147"/>
      <c r="AG761" s="147"/>
      <c r="AH761" s="147"/>
      <c r="AI761" s="147"/>
      <c r="AJ761" s="147"/>
      <c r="AK761" s="147"/>
      <c r="AL761" s="147"/>
      <c r="AM761" s="147"/>
      <c r="AN761" s="147"/>
      <c r="AO761" s="147"/>
      <c r="AP761" s="147"/>
      <c r="AQ761" s="147"/>
      <c r="AR761" s="147"/>
      <c r="AS761" s="147"/>
      <c r="AT761" s="147"/>
      <c r="AU761" s="147"/>
      <c r="AV761" s="147"/>
      <c r="AW761" s="147"/>
      <c r="AX761" s="147"/>
      <c r="AY761" s="147"/>
      <c r="AZ761" s="147"/>
      <c r="BA761" s="147"/>
      <c r="BB761" s="147"/>
      <c r="BC761" s="147"/>
      <c r="BD761" s="147"/>
      <c r="BE761" s="147"/>
      <c r="BF761" s="147"/>
      <c r="BG761" s="147"/>
      <c r="BH761" s="147"/>
      <c r="BI761" s="147"/>
      <c r="BJ761" s="147"/>
      <c r="BK761" s="147"/>
      <c r="BL761" s="147"/>
      <c r="BM761" s="147"/>
      <c r="BN761" s="147"/>
      <c r="BO761" s="147"/>
      <c r="BP761" s="147"/>
      <c r="BQ761" s="147"/>
      <c r="BR761" s="147"/>
      <c r="BS761" s="147"/>
      <c r="BT761" s="147"/>
      <c r="BU761" s="147"/>
      <c r="BV761" s="147"/>
      <c r="BW761" s="147"/>
      <c r="BX761" s="147"/>
      <c r="BY761" s="147"/>
      <c r="BZ761" s="147"/>
      <c r="CA761" s="147"/>
      <c r="CB761" s="147"/>
      <c r="CC761" s="147"/>
      <c r="CD761" s="147"/>
      <c r="CE761" s="147"/>
      <c r="CF761" s="147"/>
      <c r="CG761" s="147"/>
      <c r="CH761" s="147"/>
      <c r="CI761" s="147"/>
      <c r="CJ761" s="147"/>
      <c r="CK761" s="147"/>
    </row>
    <row r="762" spans="1:89">
      <c r="A762" s="147"/>
      <c r="B762" s="147"/>
      <c r="C762" s="147"/>
      <c r="D762" s="147"/>
      <c r="E762" s="147"/>
      <c r="F762" s="147"/>
      <c r="G762" s="147"/>
      <c r="H762" s="147"/>
      <c r="I762" s="147"/>
      <c r="J762" s="147"/>
      <c r="K762" s="147"/>
      <c r="L762" s="147"/>
      <c r="M762" s="147"/>
      <c r="N762" s="147"/>
      <c r="O762" s="158"/>
      <c r="P762" s="147"/>
      <c r="Q762" s="147"/>
      <c r="R762" s="147"/>
      <c r="S762" s="147"/>
      <c r="T762" s="147"/>
      <c r="U762" s="147"/>
      <c r="V762" s="147"/>
      <c r="W762" s="147"/>
      <c r="X762" s="147"/>
      <c r="Y762" s="147"/>
      <c r="Z762" s="147"/>
      <c r="AA762" s="147"/>
      <c r="AB762" s="147"/>
      <c r="AC762" s="147"/>
      <c r="AD762" s="147"/>
      <c r="AE762" s="147"/>
      <c r="AF762" s="147"/>
      <c r="AG762" s="147"/>
      <c r="AH762" s="147"/>
      <c r="AI762" s="147"/>
      <c r="AJ762" s="147"/>
      <c r="AK762" s="147"/>
      <c r="AL762" s="147"/>
      <c r="AM762" s="147"/>
      <c r="AN762" s="147"/>
      <c r="AO762" s="147"/>
      <c r="AP762" s="147"/>
      <c r="AQ762" s="147"/>
      <c r="AR762" s="147"/>
      <c r="AS762" s="147"/>
      <c r="AT762" s="147"/>
      <c r="AU762" s="147"/>
      <c r="AV762" s="147"/>
      <c r="AW762" s="147"/>
      <c r="AX762" s="147"/>
      <c r="AY762" s="147"/>
      <c r="AZ762" s="147"/>
      <c r="BA762" s="147"/>
      <c r="BB762" s="147"/>
      <c r="BC762" s="147"/>
      <c r="BD762" s="147"/>
      <c r="BE762" s="147"/>
      <c r="BF762" s="147"/>
      <c r="BG762" s="147"/>
      <c r="BH762" s="147"/>
      <c r="BI762" s="147"/>
      <c r="BJ762" s="147"/>
      <c r="BK762" s="147"/>
      <c r="BL762" s="147"/>
      <c r="BM762" s="147"/>
      <c r="BN762" s="147"/>
      <c r="BO762" s="147"/>
      <c r="BP762" s="147"/>
      <c r="BQ762" s="147"/>
      <c r="BR762" s="147"/>
      <c r="BS762" s="147"/>
      <c r="BT762" s="147"/>
      <c r="BU762" s="147"/>
      <c r="BV762" s="147"/>
      <c r="BW762" s="147"/>
      <c r="BX762" s="147"/>
      <c r="BY762" s="147"/>
      <c r="BZ762" s="147"/>
      <c r="CA762" s="147"/>
      <c r="CB762" s="147"/>
      <c r="CC762" s="147"/>
      <c r="CD762" s="147"/>
      <c r="CE762" s="147"/>
      <c r="CF762" s="147"/>
      <c r="CG762" s="147"/>
      <c r="CH762" s="147"/>
      <c r="CI762" s="147"/>
      <c r="CJ762" s="147"/>
      <c r="CK762" s="147"/>
    </row>
    <row r="763" spans="1:89">
      <c r="A763" s="147"/>
      <c r="B763" s="147"/>
      <c r="C763" s="147"/>
      <c r="D763" s="147"/>
      <c r="E763" s="147"/>
      <c r="F763" s="147"/>
      <c r="G763" s="147"/>
      <c r="H763" s="147"/>
      <c r="I763" s="147"/>
      <c r="J763" s="147"/>
      <c r="K763" s="147"/>
      <c r="L763" s="147"/>
      <c r="M763" s="147"/>
      <c r="N763" s="147"/>
      <c r="O763" s="158"/>
      <c r="P763" s="147"/>
      <c r="Q763" s="147"/>
      <c r="R763" s="147"/>
      <c r="S763" s="147"/>
      <c r="T763" s="147"/>
      <c r="U763" s="147"/>
      <c r="V763" s="147"/>
      <c r="W763" s="147"/>
      <c r="X763" s="147"/>
      <c r="Y763" s="147"/>
      <c r="Z763" s="147"/>
      <c r="AA763" s="147"/>
      <c r="AB763" s="147"/>
      <c r="AC763" s="147"/>
      <c r="AD763" s="147"/>
      <c r="AE763" s="147"/>
      <c r="AF763" s="147"/>
      <c r="AG763" s="147"/>
      <c r="AH763" s="147"/>
      <c r="AI763" s="147"/>
      <c r="AJ763" s="147"/>
      <c r="AK763" s="147"/>
      <c r="AL763" s="147"/>
      <c r="AM763" s="147"/>
      <c r="AN763" s="147"/>
      <c r="AO763" s="147"/>
      <c r="AP763" s="147"/>
      <c r="AQ763" s="147"/>
      <c r="AR763" s="147"/>
      <c r="AS763" s="147"/>
      <c r="AT763" s="147"/>
      <c r="AU763" s="147"/>
      <c r="AV763" s="147"/>
      <c r="AW763" s="147"/>
      <c r="AX763" s="147"/>
      <c r="AY763" s="147"/>
      <c r="AZ763" s="147"/>
      <c r="BA763" s="147"/>
      <c r="BB763" s="147"/>
      <c r="BC763" s="147"/>
      <c r="BD763" s="147"/>
      <c r="BE763" s="147"/>
      <c r="BF763" s="147"/>
      <c r="BG763" s="147"/>
      <c r="BH763" s="147"/>
      <c r="BI763" s="147"/>
      <c r="BJ763" s="147"/>
      <c r="BK763" s="147"/>
      <c r="BL763" s="147"/>
      <c r="BM763" s="147"/>
      <c r="BN763" s="147"/>
      <c r="BO763" s="147"/>
      <c r="BP763" s="147"/>
      <c r="BQ763" s="147"/>
      <c r="BR763" s="147"/>
      <c r="BS763" s="147"/>
      <c r="BT763" s="147"/>
      <c r="BU763" s="147"/>
      <c r="BV763" s="147"/>
      <c r="BW763" s="147"/>
      <c r="BX763" s="147"/>
      <c r="BY763" s="147"/>
      <c r="BZ763" s="147"/>
      <c r="CA763" s="147"/>
      <c r="CB763" s="147"/>
      <c r="CC763" s="147"/>
      <c r="CD763" s="147"/>
      <c r="CE763" s="147"/>
      <c r="CF763" s="147"/>
      <c r="CG763" s="147"/>
      <c r="CH763" s="147"/>
      <c r="CI763" s="147"/>
      <c r="CJ763" s="147"/>
      <c r="CK763" s="147"/>
    </row>
    <row r="764" spans="1:89">
      <c r="A764" s="147"/>
      <c r="B764" s="147"/>
      <c r="C764" s="147"/>
      <c r="D764" s="147"/>
      <c r="E764" s="147"/>
      <c r="F764" s="147"/>
      <c r="G764" s="147"/>
      <c r="H764" s="147"/>
      <c r="I764" s="147"/>
      <c r="J764" s="147"/>
      <c r="K764" s="147"/>
      <c r="L764" s="147"/>
      <c r="M764" s="147"/>
      <c r="N764" s="147"/>
      <c r="O764" s="158"/>
      <c r="P764" s="147"/>
      <c r="Q764" s="147"/>
      <c r="R764" s="147"/>
      <c r="S764" s="147"/>
      <c r="T764" s="147"/>
      <c r="U764" s="147"/>
      <c r="V764" s="147"/>
      <c r="W764" s="147"/>
      <c r="X764" s="147"/>
      <c r="Y764" s="147"/>
      <c r="Z764" s="147"/>
      <c r="AA764" s="147"/>
      <c r="AB764" s="147"/>
      <c r="AC764" s="147"/>
      <c r="AD764" s="147"/>
      <c r="AE764" s="147"/>
      <c r="AF764" s="147"/>
      <c r="AG764" s="147"/>
      <c r="AH764" s="147"/>
      <c r="AI764" s="147"/>
      <c r="AJ764" s="147"/>
      <c r="AK764" s="147"/>
      <c r="AL764" s="147"/>
      <c r="AM764" s="147"/>
      <c r="AN764" s="147"/>
      <c r="AO764" s="147"/>
      <c r="AP764" s="147"/>
      <c r="AQ764" s="147"/>
      <c r="AR764" s="147"/>
      <c r="AS764" s="147"/>
      <c r="AT764" s="147"/>
      <c r="AU764" s="147"/>
      <c r="AV764" s="147"/>
      <c r="AW764" s="147"/>
      <c r="AX764" s="147"/>
      <c r="AY764" s="147"/>
      <c r="AZ764" s="147"/>
      <c r="BA764" s="147"/>
      <c r="BB764" s="147"/>
      <c r="BC764" s="147"/>
      <c r="BD764" s="147"/>
      <c r="BE764" s="147"/>
      <c r="BF764" s="147"/>
      <c r="BG764" s="147"/>
      <c r="BH764" s="147"/>
      <c r="BI764" s="147"/>
      <c r="BJ764" s="147"/>
      <c r="BK764" s="147"/>
      <c r="BL764" s="147"/>
      <c r="BM764" s="147"/>
      <c r="BN764" s="147"/>
      <c r="BO764" s="147"/>
      <c r="BP764" s="147"/>
      <c r="BQ764" s="147"/>
      <c r="BR764" s="147"/>
      <c r="BS764" s="147"/>
      <c r="BT764" s="147"/>
      <c r="BU764" s="147"/>
      <c r="BV764" s="147"/>
      <c r="BW764" s="147"/>
      <c r="BX764" s="147"/>
      <c r="BY764" s="147"/>
      <c r="BZ764" s="147"/>
      <c r="CA764" s="147"/>
      <c r="CB764" s="147"/>
      <c r="CC764" s="147"/>
      <c r="CD764" s="147"/>
      <c r="CE764" s="147"/>
      <c r="CF764" s="147"/>
      <c r="CG764" s="147"/>
      <c r="CH764" s="147"/>
      <c r="CI764" s="147"/>
      <c r="CJ764" s="147"/>
      <c r="CK764" s="147"/>
    </row>
    <row r="765" spans="1:89">
      <c r="A765" s="147"/>
      <c r="B765" s="147"/>
      <c r="C765" s="147"/>
      <c r="D765" s="147"/>
      <c r="E765" s="147"/>
      <c r="F765" s="147"/>
      <c r="G765" s="147"/>
      <c r="H765" s="147"/>
      <c r="I765" s="147"/>
      <c r="J765" s="147"/>
      <c r="K765" s="147"/>
      <c r="L765" s="147"/>
      <c r="M765" s="147"/>
      <c r="N765" s="147"/>
      <c r="O765" s="158"/>
      <c r="P765" s="147"/>
      <c r="Q765" s="147"/>
      <c r="R765" s="147"/>
      <c r="S765" s="147"/>
      <c r="T765" s="147"/>
      <c r="U765" s="147"/>
      <c r="V765" s="147"/>
      <c r="W765" s="147"/>
      <c r="X765" s="147"/>
      <c r="Y765" s="147"/>
      <c r="Z765" s="147"/>
      <c r="AA765" s="147"/>
      <c r="AB765" s="147"/>
      <c r="AC765" s="147"/>
      <c r="AD765" s="147"/>
      <c r="AE765" s="147"/>
      <c r="AF765" s="147"/>
      <c r="AG765" s="147"/>
      <c r="AH765" s="147"/>
      <c r="AI765" s="147"/>
      <c r="AJ765" s="147"/>
      <c r="AK765" s="147"/>
      <c r="AL765" s="147"/>
      <c r="AM765" s="147"/>
      <c r="AN765" s="147"/>
      <c r="AO765" s="147"/>
      <c r="AP765" s="147"/>
      <c r="AQ765" s="147"/>
      <c r="AR765" s="147"/>
      <c r="AS765" s="147"/>
      <c r="AT765" s="147"/>
      <c r="AU765" s="147"/>
      <c r="AV765" s="147"/>
      <c r="AW765" s="147"/>
      <c r="AX765" s="147"/>
      <c r="AY765" s="147"/>
      <c r="AZ765" s="147"/>
      <c r="BA765" s="147"/>
      <c r="BB765" s="147"/>
      <c r="BC765" s="147"/>
      <c r="BD765" s="147"/>
      <c r="BE765" s="147"/>
      <c r="BF765" s="147"/>
      <c r="BG765" s="147"/>
      <c r="BH765" s="147"/>
      <c r="BI765" s="147"/>
      <c r="BJ765" s="147"/>
      <c r="BK765" s="147"/>
      <c r="BL765" s="147"/>
      <c r="BM765" s="147"/>
      <c r="BN765" s="147"/>
      <c r="BO765" s="147"/>
      <c r="BP765" s="147"/>
      <c r="BQ765" s="147"/>
      <c r="BR765" s="147"/>
      <c r="BS765" s="147"/>
      <c r="BT765" s="147"/>
      <c r="BU765" s="147"/>
      <c r="BV765" s="147"/>
      <c r="BW765" s="147"/>
      <c r="BX765" s="147"/>
      <c r="BY765" s="147"/>
      <c r="BZ765" s="147"/>
      <c r="CA765" s="147"/>
      <c r="CB765" s="147"/>
      <c r="CC765" s="147"/>
      <c r="CD765" s="147"/>
      <c r="CE765" s="147"/>
      <c r="CF765" s="147"/>
      <c r="CG765" s="147"/>
      <c r="CH765" s="147"/>
      <c r="CI765" s="147"/>
      <c r="CJ765" s="147"/>
      <c r="CK765" s="147"/>
    </row>
    <row r="766" spans="1:89">
      <c r="A766" s="147"/>
      <c r="B766" s="147"/>
      <c r="C766" s="147"/>
      <c r="D766" s="147"/>
      <c r="E766" s="147"/>
      <c r="F766" s="147"/>
      <c r="G766" s="147"/>
      <c r="H766" s="147"/>
      <c r="I766" s="147"/>
      <c r="J766" s="147"/>
      <c r="K766" s="147"/>
      <c r="L766" s="147"/>
      <c r="M766" s="147"/>
      <c r="N766" s="147"/>
      <c r="O766" s="158"/>
      <c r="P766" s="147"/>
      <c r="Q766" s="147"/>
      <c r="R766" s="147"/>
      <c r="S766" s="147"/>
      <c r="T766" s="147"/>
      <c r="U766" s="147"/>
      <c r="V766" s="147"/>
      <c r="W766" s="147"/>
      <c r="X766" s="147"/>
      <c r="Y766" s="147"/>
      <c r="Z766" s="147"/>
      <c r="AA766" s="147"/>
      <c r="AB766" s="147"/>
      <c r="AC766" s="147"/>
      <c r="AD766" s="147"/>
      <c r="AE766" s="147"/>
      <c r="AF766" s="147"/>
      <c r="AG766" s="147"/>
      <c r="AH766" s="147"/>
      <c r="AI766" s="147"/>
      <c r="AJ766" s="147"/>
      <c r="AK766" s="147"/>
      <c r="AL766" s="147"/>
      <c r="AM766" s="147"/>
      <c r="AN766" s="147"/>
      <c r="AO766" s="147"/>
      <c r="AP766" s="147"/>
      <c r="AQ766" s="147"/>
      <c r="AR766" s="147"/>
      <c r="AS766" s="147"/>
      <c r="AT766" s="147"/>
      <c r="AU766" s="147"/>
      <c r="AV766" s="147"/>
      <c r="AW766" s="147"/>
      <c r="AX766" s="147"/>
      <c r="AY766" s="147"/>
      <c r="AZ766" s="147"/>
      <c r="BA766" s="147"/>
      <c r="BB766" s="147"/>
      <c r="BC766" s="147"/>
      <c r="BD766" s="147"/>
      <c r="BE766" s="147"/>
      <c r="BF766" s="147"/>
      <c r="BG766" s="147"/>
      <c r="BH766" s="147"/>
      <c r="BI766" s="147"/>
      <c r="BJ766" s="147"/>
      <c r="BK766" s="147"/>
      <c r="BL766" s="147"/>
      <c r="BM766" s="147"/>
      <c r="BN766" s="147"/>
      <c r="BO766" s="147"/>
      <c r="BP766" s="147"/>
      <c r="BQ766" s="147"/>
      <c r="BR766" s="147"/>
      <c r="BS766" s="147"/>
      <c r="BT766" s="147"/>
      <c r="BU766" s="147"/>
      <c r="BV766" s="147"/>
      <c r="BW766" s="147"/>
      <c r="BX766" s="147"/>
      <c r="BY766" s="147"/>
      <c r="BZ766" s="147"/>
      <c r="CA766" s="147"/>
      <c r="CB766" s="147"/>
      <c r="CC766" s="147"/>
      <c r="CD766" s="147"/>
      <c r="CE766" s="147"/>
      <c r="CF766" s="147"/>
      <c r="CG766" s="147"/>
      <c r="CH766" s="147"/>
      <c r="CI766" s="147"/>
      <c r="CJ766" s="147"/>
      <c r="CK766" s="147"/>
    </row>
    <row r="767" spans="1:89">
      <c r="A767" s="147"/>
      <c r="B767" s="147"/>
      <c r="C767" s="147"/>
      <c r="D767" s="147"/>
      <c r="E767" s="147"/>
      <c r="F767" s="147"/>
      <c r="G767" s="147"/>
      <c r="H767" s="147"/>
      <c r="I767" s="147"/>
      <c r="J767" s="147"/>
      <c r="K767" s="147"/>
      <c r="L767" s="147"/>
      <c r="M767" s="147"/>
      <c r="N767" s="147"/>
      <c r="O767" s="158"/>
      <c r="P767" s="147"/>
      <c r="Q767" s="147"/>
      <c r="R767" s="147"/>
      <c r="S767" s="147"/>
      <c r="T767" s="147"/>
      <c r="U767" s="147"/>
      <c r="V767" s="147"/>
      <c r="W767" s="147"/>
      <c r="X767" s="147"/>
      <c r="Y767" s="147"/>
      <c r="Z767" s="147"/>
      <c r="AA767" s="147"/>
      <c r="AB767" s="147"/>
      <c r="AC767" s="147"/>
      <c r="AD767" s="147"/>
      <c r="AE767" s="147"/>
      <c r="AF767" s="147"/>
      <c r="AG767" s="147"/>
      <c r="AH767" s="147"/>
      <c r="AI767" s="147"/>
      <c r="AJ767" s="147"/>
      <c r="AK767" s="147"/>
      <c r="AL767" s="147"/>
      <c r="AM767" s="147"/>
      <c r="AN767" s="147"/>
      <c r="AO767" s="147"/>
      <c r="AP767" s="147"/>
      <c r="AQ767" s="147"/>
      <c r="AR767" s="147"/>
      <c r="AS767" s="147"/>
      <c r="AT767" s="147"/>
      <c r="AU767" s="147"/>
      <c r="AV767" s="147"/>
      <c r="AW767" s="147"/>
      <c r="AX767" s="147"/>
      <c r="AY767" s="147"/>
      <c r="AZ767" s="147"/>
      <c r="BA767" s="147"/>
      <c r="BB767" s="147"/>
      <c r="BC767" s="147"/>
      <c r="BD767" s="147"/>
      <c r="BE767" s="147"/>
      <c r="BF767" s="147"/>
      <c r="BG767" s="147"/>
      <c r="BH767" s="147"/>
      <c r="BI767" s="147"/>
      <c r="BJ767" s="147"/>
      <c r="BK767" s="147"/>
      <c r="BL767" s="147"/>
      <c r="BM767" s="147"/>
      <c r="BN767" s="147"/>
      <c r="BO767" s="147"/>
      <c r="BP767" s="147"/>
      <c r="BQ767" s="147"/>
      <c r="BR767" s="147"/>
      <c r="BS767" s="147"/>
      <c r="BT767" s="147"/>
      <c r="BU767" s="147"/>
      <c r="BV767" s="147"/>
      <c r="BW767" s="147"/>
      <c r="BX767" s="147"/>
      <c r="BY767" s="147"/>
      <c r="BZ767" s="147"/>
      <c r="CA767" s="147"/>
      <c r="CB767" s="147"/>
      <c r="CC767" s="147"/>
      <c r="CD767" s="147"/>
      <c r="CE767" s="147"/>
      <c r="CF767" s="147"/>
      <c r="CG767" s="147"/>
      <c r="CH767" s="147"/>
      <c r="CI767" s="147"/>
      <c r="CJ767" s="147"/>
      <c r="CK767" s="147"/>
    </row>
    <row r="768" spans="1:89">
      <c r="A768" s="147"/>
      <c r="B768" s="147"/>
      <c r="C768" s="147"/>
      <c r="D768" s="147"/>
      <c r="E768" s="147"/>
      <c r="F768" s="147"/>
      <c r="G768" s="147"/>
      <c r="H768" s="147"/>
      <c r="I768" s="147"/>
      <c r="J768" s="147"/>
      <c r="K768" s="147"/>
      <c r="L768" s="147"/>
      <c r="M768" s="147"/>
      <c r="N768" s="147"/>
      <c r="O768" s="158"/>
      <c r="P768" s="147"/>
      <c r="Q768" s="147"/>
      <c r="R768" s="147"/>
      <c r="S768" s="147"/>
      <c r="T768" s="147"/>
      <c r="U768" s="147"/>
      <c r="V768" s="147"/>
      <c r="W768" s="147"/>
      <c r="X768" s="147"/>
      <c r="Y768" s="147"/>
      <c r="Z768" s="147"/>
      <c r="AA768" s="147"/>
      <c r="AB768" s="147"/>
      <c r="AC768" s="147"/>
      <c r="AD768" s="147"/>
      <c r="AE768" s="147"/>
      <c r="AF768" s="147"/>
      <c r="AG768" s="147"/>
      <c r="AH768" s="147"/>
      <c r="AI768" s="147"/>
      <c r="AJ768" s="147"/>
      <c r="AK768" s="147"/>
      <c r="AL768" s="147"/>
      <c r="AM768" s="147"/>
      <c r="AN768" s="147"/>
      <c r="AO768" s="147"/>
      <c r="AP768" s="147"/>
      <c r="AQ768" s="147"/>
      <c r="AR768" s="147"/>
      <c r="AS768" s="147"/>
      <c r="AT768" s="147"/>
      <c r="AU768" s="147"/>
      <c r="AV768" s="147"/>
      <c r="AW768" s="147"/>
      <c r="AX768" s="147"/>
      <c r="AY768" s="147"/>
      <c r="AZ768" s="147"/>
      <c r="BA768" s="147"/>
      <c r="BB768" s="147"/>
      <c r="BC768" s="147"/>
      <c r="BD768" s="147"/>
      <c r="BE768" s="147"/>
      <c r="BF768" s="147"/>
      <c r="BG768" s="147"/>
      <c r="BH768" s="147"/>
      <c r="BI768" s="147"/>
      <c r="BJ768" s="147"/>
      <c r="BK768" s="147"/>
      <c r="BL768" s="147"/>
      <c r="BM768" s="147"/>
      <c r="BN768" s="147"/>
      <c r="BO768" s="147"/>
      <c r="BP768" s="147"/>
      <c r="BQ768" s="147"/>
      <c r="BR768" s="147"/>
      <c r="BS768" s="147"/>
      <c r="BT768" s="147"/>
      <c r="BU768" s="147"/>
      <c r="BV768" s="147"/>
      <c r="BW768" s="147"/>
      <c r="BX768" s="147"/>
      <c r="BY768" s="147"/>
      <c r="BZ768" s="147"/>
      <c r="CA768" s="147"/>
      <c r="CB768" s="147"/>
      <c r="CC768" s="147"/>
      <c r="CD768" s="147"/>
      <c r="CE768" s="147"/>
      <c r="CF768" s="147"/>
      <c r="CG768" s="147"/>
      <c r="CH768" s="147"/>
      <c r="CI768" s="147"/>
      <c r="CJ768" s="147"/>
      <c r="CK768" s="147"/>
    </row>
    <row r="769" spans="1:89">
      <c r="A769" s="147"/>
      <c r="B769" s="147"/>
      <c r="C769" s="147"/>
      <c r="D769" s="147"/>
      <c r="E769" s="147"/>
      <c r="F769" s="147"/>
      <c r="G769" s="147"/>
      <c r="H769" s="147"/>
      <c r="I769" s="147"/>
      <c r="J769" s="147"/>
      <c r="K769" s="147"/>
      <c r="L769" s="147"/>
      <c r="M769" s="147"/>
      <c r="N769" s="147"/>
      <c r="O769" s="158"/>
      <c r="P769" s="147"/>
      <c r="Q769" s="147"/>
      <c r="R769" s="147"/>
      <c r="S769" s="147"/>
      <c r="T769" s="147"/>
      <c r="U769" s="147"/>
      <c r="V769" s="147"/>
      <c r="W769" s="147"/>
      <c r="X769" s="147"/>
      <c r="Y769" s="147"/>
      <c r="Z769" s="147"/>
      <c r="AA769" s="147"/>
      <c r="AB769" s="147"/>
      <c r="AC769" s="147"/>
      <c r="AD769" s="147"/>
      <c r="AE769" s="147"/>
      <c r="AF769" s="147"/>
      <c r="AG769" s="147"/>
      <c r="AH769" s="147"/>
      <c r="AI769" s="147"/>
      <c r="AJ769" s="147"/>
      <c r="AK769" s="147"/>
      <c r="AL769" s="147"/>
      <c r="AM769" s="147"/>
      <c r="AN769" s="147"/>
      <c r="AO769" s="147"/>
      <c r="AP769" s="147"/>
      <c r="AQ769" s="147"/>
      <c r="AR769" s="147"/>
      <c r="AS769" s="147"/>
      <c r="AT769" s="147"/>
      <c r="AU769" s="147"/>
      <c r="AV769" s="147"/>
      <c r="AW769" s="147"/>
      <c r="AX769" s="147"/>
      <c r="AY769" s="147"/>
      <c r="AZ769" s="147"/>
      <c r="BA769" s="147"/>
      <c r="BB769" s="147"/>
      <c r="BC769" s="147"/>
      <c r="BD769" s="147"/>
      <c r="BE769" s="147"/>
      <c r="BF769" s="147"/>
      <c r="BG769" s="147"/>
      <c r="BH769" s="147"/>
      <c r="BI769" s="147"/>
      <c r="BJ769" s="147"/>
      <c r="BK769" s="147"/>
      <c r="BL769" s="147"/>
      <c r="BM769" s="147"/>
      <c r="BN769" s="147"/>
      <c r="BO769" s="147"/>
      <c r="BP769" s="147"/>
      <c r="BQ769" s="147"/>
      <c r="BR769" s="147"/>
      <c r="BS769" s="147"/>
      <c r="BT769" s="147"/>
      <c r="BU769" s="147"/>
      <c r="BV769" s="147"/>
      <c r="BW769" s="147"/>
      <c r="BX769" s="147"/>
      <c r="BY769" s="147"/>
      <c r="BZ769" s="147"/>
      <c r="CA769" s="147"/>
      <c r="CB769" s="147"/>
      <c r="CC769" s="147"/>
      <c r="CD769" s="147"/>
      <c r="CE769" s="147"/>
      <c r="CF769" s="147"/>
      <c r="CG769" s="147"/>
      <c r="CH769" s="147"/>
      <c r="CI769" s="147"/>
      <c r="CJ769" s="147"/>
      <c r="CK769" s="147"/>
    </row>
    <row r="770" spans="1:89">
      <c r="A770" s="147"/>
      <c r="B770" s="147"/>
      <c r="C770" s="147"/>
      <c r="D770" s="147"/>
      <c r="E770" s="147"/>
      <c r="F770" s="147"/>
      <c r="G770" s="147"/>
      <c r="H770" s="147"/>
      <c r="I770" s="147"/>
      <c r="J770" s="147"/>
      <c r="K770" s="147"/>
      <c r="L770" s="147"/>
      <c r="M770" s="147"/>
      <c r="N770" s="147"/>
      <c r="O770" s="158"/>
      <c r="P770" s="147"/>
      <c r="Q770" s="147"/>
      <c r="R770" s="147"/>
      <c r="S770" s="147"/>
      <c r="T770" s="147"/>
      <c r="U770" s="147"/>
      <c r="V770" s="147"/>
      <c r="W770" s="147"/>
      <c r="X770" s="147"/>
      <c r="Y770" s="147"/>
      <c r="Z770" s="147"/>
      <c r="AA770" s="147"/>
      <c r="AB770" s="147"/>
      <c r="AC770" s="147"/>
      <c r="AD770" s="147"/>
      <c r="AE770" s="147"/>
      <c r="AF770" s="147"/>
      <c r="AG770" s="147"/>
      <c r="AH770" s="147"/>
      <c r="AI770" s="147"/>
      <c r="AJ770" s="147"/>
      <c r="AK770" s="147"/>
      <c r="AL770" s="147"/>
      <c r="AM770" s="147"/>
      <c r="AN770" s="147"/>
      <c r="AO770" s="147"/>
      <c r="AP770" s="147"/>
      <c r="AQ770" s="147"/>
      <c r="AR770" s="147"/>
      <c r="AS770" s="147"/>
      <c r="AT770" s="147"/>
      <c r="AU770" s="147"/>
      <c r="AV770" s="147"/>
      <c r="AW770" s="147"/>
      <c r="AX770" s="147"/>
      <c r="AY770" s="147"/>
      <c r="AZ770" s="147"/>
      <c r="BA770" s="147"/>
      <c r="BB770" s="147"/>
      <c r="BC770" s="147"/>
      <c r="BD770" s="147"/>
      <c r="BE770" s="147"/>
      <c r="BF770" s="147"/>
      <c r="BG770" s="147"/>
      <c r="BH770" s="147"/>
      <c r="BI770" s="147"/>
      <c r="BJ770" s="147"/>
      <c r="BK770" s="147"/>
      <c r="BL770" s="147"/>
      <c r="BM770" s="147"/>
      <c r="BN770" s="147"/>
      <c r="BO770" s="147"/>
      <c r="BP770" s="147"/>
      <c r="BQ770" s="147"/>
      <c r="BR770" s="147"/>
      <c r="BS770" s="147"/>
      <c r="BT770" s="147"/>
      <c r="BU770" s="147"/>
      <c r="BV770" s="147"/>
      <c r="BW770" s="147"/>
      <c r="BX770" s="147"/>
      <c r="BY770" s="147"/>
      <c r="BZ770" s="147"/>
      <c r="CA770" s="147"/>
      <c r="CB770" s="147"/>
      <c r="CC770" s="147"/>
      <c r="CD770" s="147"/>
      <c r="CE770" s="147"/>
      <c r="CF770" s="147"/>
      <c r="CG770" s="147"/>
      <c r="CH770" s="147"/>
      <c r="CI770" s="147"/>
      <c r="CJ770" s="147"/>
      <c r="CK770" s="147"/>
    </row>
    <row r="771" spans="1:89">
      <c r="A771" s="147"/>
      <c r="B771" s="147"/>
      <c r="C771" s="147"/>
      <c r="D771" s="147"/>
      <c r="E771" s="147"/>
      <c r="F771" s="147"/>
      <c r="G771" s="147"/>
      <c r="H771" s="147"/>
      <c r="I771" s="147"/>
      <c r="J771" s="147"/>
      <c r="K771" s="147"/>
      <c r="L771" s="147"/>
      <c r="M771" s="147"/>
      <c r="N771" s="147"/>
      <c r="O771" s="158"/>
      <c r="P771" s="147"/>
      <c r="Q771" s="147"/>
      <c r="R771" s="147"/>
      <c r="S771" s="147"/>
      <c r="T771" s="147"/>
      <c r="U771" s="147"/>
      <c r="V771" s="147"/>
      <c r="W771" s="147"/>
      <c r="X771" s="147"/>
      <c r="Y771" s="147"/>
      <c r="Z771" s="147"/>
      <c r="AA771" s="147"/>
      <c r="AB771" s="147"/>
      <c r="AC771" s="147"/>
      <c r="AD771" s="147"/>
      <c r="AE771" s="147"/>
      <c r="AF771" s="147"/>
      <c r="AG771" s="147"/>
      <c r="AH771" s="147"/>
      <c r="AI771" s="147"/>
      <c r="AJ771" s="147"/>
      <c r="AK771" s="147"/>
      <c r="AL771" s="147"/>
      <c r="AM771" s="147"/>
      <c r="AN771" s="147"/>
      <c r="AO771" s="147"/>
      <c r="AP771" s="147"/>
      <c r="AQ771" s="147"/>
      <c r="AR771" s="147"/>
      <c r="AS771" s="147"/>
      <c r="AT771" s="147"/>
      <c r="AU771" s="147"/>
      <c r="AV771" s="147"/>
      <c r="AW771" s="147"/>
      <c r="AX771" s="147"/>
      <c r="AY771" s="147"/>
      <c r="AZ771" s="147"/>
      <c r="BA771" s="147"/>
      <c r="BB771" s="147"/>
      <c r="BC771" s="147"/>
      <c r="BD771" s="147"/>
      <c r="BE771" s="147"/>
      <c r="BF771" s="147"/>
      <c r="BG771" s="147"/>
      <c r="BH771" s="147"/>
      <c r="BI771" s="147"/>
      <c r="BJ771" s="147"/>
      <c r="BK771" s="147"/>
      <c r="BL771" s="147"/>
      <c r="BM771" s="147"/>
      <c r="BN771" s="147"/>
      <c r="BO771" s="147"/>
      <c r="BP771" s="147"/>
      <c r="BQ771" s="147"/>
      <c r="BR771" s="147"/>
      <c r="BS771" s="147"/>
      <c r="BT771" s="147"/>
      <c r="BU771" s="147"/>
      <c r="BV771" s="147"/>
      <c r="BW771" s="147"/>
      <c r="BX771" s="147"/>
      <c r="BY771" s="147"/>
      <c r="BZ771" s="147"/>
      <c r="CA771" s="147"/>
      <c r="CB771" s="147"/>
      <c r="CC771" s="147"/>
      <c r="CD771" s="147"/>
      <c r="CE771" s="147"/>
      <c r="CF771" s="147"/>
      <c r="CG771" s="147"/>
      <c r="CH771" s="147"/>
      <c r="CI771" s="147"/>
      <c r="CJ771" s="147"/>
      <c r="CK771" s="147"/>
    </row>
    <row r="772" spans="1:89">
      <c r="A772" s="147"/>
      <c r="B772" s="147"/>
      <c r="C772" s="147"/>
      <c r="D772" s="147"/>
      <c r="E772" s="147"/>
      <c r="F772" s="147"/>
      <c r="G772" s="147"/>
      <c r="H772" s="147"/>
      <c r="I772" s="147"/>
      <c r="J772" s="147"/>
      <c r="K772" s="147"/>
      <c r="L772" s="147"/>
      <c r="M772" s="147"/>
      <c r="N772" s="147"/>
      <c r="O772" s="158"/>
      <c r="P772" s="147"/>
      <c r="Q772" s="147"/>
      <c r="R772" s="147"/>
      <c r="S772" s="147"/>
      <c r="T772" s="147"/>
      <c r="U772" s="147"/>
      <c r="V772" s="147"/>
      <c r="W772" s="147"/>
      <c r="X772" s="147"/>
      <c r="Y772" s="147"/>
      <c r="Z772" s="147"/>
      <c r="AA772" s="147"/>
      <c r="AB772" s="147"/>
      <c r="AC772" s="147"/>
      <c r="AD772" s="147"/>
      <c r="AE772" s="147"/>
      <c r="AF772" s="147"/>
      <c r="AG772" s="147"/>
      <c r="AH772" s="147"/>
      <c r="AI772" s="147"/>
      <c r="AJ772" s="147"/>
      <c r="AK772" s="147"/>
      <c r="AL772" s="147"/>
      <c r="AM772" s="147"/>
      <c r="AN772" s="147"/>
      <c r="AO772" s="147"/>
      <c r="AP772" s="147"/>
      <c r="AQ772" s="147"/>
      <c r="AR772" s="147"/>
      <c r="AS772" s="147"/>
      <c r="AT772" s="147"/>
      <c r="AU772" s="147"/>
      <c r="AV772" s="147"/>
      <c r="AW772" s="147"/>
      <c r="AX772" s="147"/>
      <c r="AY772" s="147"/>
      <c r="AZ772" s="147"/>
      <c r="BA772" s="147"/>
      <c r="BB772" s="147"/>
      <c r="BC772" s="147"/>
      <c r="BD772" s="147"/>
      <c r="BE772" s="147"/>
      <c r="BF772" s="147"/>
      <c r="BG772" s="147"/>
      <c r="BH772" s="147"/>
      <c r="BI772" s="147"/>
      <c r="BJ772" s="147"/>
      <c r="BK772" s="147"/>
      <c r="BL772" s="147"/>
      <c r="BM772" s="147"/>
      <c r="BN772" s="147"/>
      <c r="BO772" s="147"/>
      <c r="BP772" s="147"/>
      <c r="BQ772" s="147"/>
      <c r="BR772" s="147"/>
      <c r="BS772" s="147"/>
      <c r="BT772" s="147"/>
      <c r="BU772" s="147"/>
      <c r="BV772" s="147"/>
      <c r="BW772" s="147"/>
      <c r="BX772" s="147"/>
      <c r="BY772" s="147"/>
      <c r="BZ772" s="147"/>
      <c r="CA772" s="147"/>
      <c r="CB772" s="147"/>
      <c r="CC772" s="147"/>
      <c r="CD772" s="147"/>
      <c r="CE772" s="147"/>
      <c r="CF772" s="147"/>
      <c r="CG772" s="147"/>
      <c r="CH772" s="147"/>
      <c r="CI772" s="147"/>
      <c r="CJ772" s="147"/>
      <c r="CK772" s="147"/>
    </row>
    <row r="773" spans="1:89">
      <c r="A773" s="147"/>
      <c r="B773" s="147"/>
      <c r="C773" s="147"/>
      <c r="D773" s="147"/>
      <c r="E773" s="147"/>
      <c r="F773" s="147"/>
      <c r="G773" s="147"/>
      <c r="H773" s="147"/>
      <c r="I773" s="147"/>
      <c r="J773" s="147"/>
      <c r="K773" s="147"/>
      <c r="L773" s="147"/>
      <c r="M773" s="147"/>
      <c r="N773" s="147"/>
      <c r="O773" s="158"/>
      <c r="P773" s="147"/>
      <c r="Q773" s="147"/>
      <c r="R773" s="147"/>
      <c r="S773" s="147"/>
      <c r="T773" s="147"/>
      <c r="U773" s="147"/>
      <c r="V773" s="147"/>
      <c r="W773" s="147"/>
      <c r="X773" s="147"/>
      <c r="Y773" s="147"/>
      <c r="Z773" s="147"/>
      <c r="AA773" s="147"/>
      <c r="AB773" s="147"/>
      <c r="AC773" s="147"/>
      <c r="AD773" s="147"/>
      <c r="AE773" s="147"/>
      <c r="AF773" s="147"/>
      <c r="AG773" s="147"/>
      <c r="AH773" s="147"/>
      <c r="AI773" s="147"/>
      <c r="AJ773" s="147"/>
      <c r="AK773" s="147"/>
      <c r="AL773" s="147"/>
      <c r="AM773" s="147"/>
      <c r="AN773" s="147"/>
      <c r="AO773" s="147"/>
      <c r="AP773" s="147"/>
      <c r="AQ773" s="147"/>
      <c r="AR773" s="147"/>
      <c r="AS773" s="147"/>
      <c r="AT773" s="147"/>
      <c r="AU773" s="147"/>
      <c r="AV773" s="147"/>
      <c r="AW773" s="147"/>
      <c r="AX773" s="147"/>
      <c r="AY773" s="147"/>
      <c r="AZ773" s="147"/>
      <c r="BA773" s="147"/>
      <c r="BB773" s="147"/>
      <c r="BC773" s="147"/>
      <c r="BD773" s="147"/>
      <c r="BE773" s="147"/>
      <c r="BF773" s="147"/>
      <c r="BG773" s="147"/>
      <c r="BH773" s="147"/>
      <c r="BI773" s="147"/>
      <c r="BJ773" s="147"/>
      <c r="BK773" s="147"/>
      <c r="BL773" s="147"/>
      <c r="BM773" s="147"/>
      <c r="BN773" s="147"/>
      <c r="BO773" s="147"/>
      <c r="BP773" s="147"/>
      <c r="BQ773" s="147"/>
      <c r="BR773" s="147"/>
      <c r="BS773" s="147"/>
      <c r="BT773" s="147"/>
      <c r="BU773" s="147"/>
      <c r="BV773" s="147"/>
      <c r="BW773" s="147"/>
      <c r="BX773" s="147"/>
      <c r="BY773" s="147"/>
      <c r="BZ773" s="147"/>
      <c r="CA773" s="147"/>
      <c r="CB773" s="147"/>
      <c r="CC773" s="147"/>
      <c r="CD773" s="147"/>
      <c r="CE773" s="147"/>
      <c r="CF773" s="147"/>
      <c r="CG773" s="147"/>
      <c r="CH773" s="147"/>
      <c r="CI773" s="147"/>
      <c r="CJ773" s="147"/>
      <c r="CK773" s="147"/>
    </row>
    <row r="774" spans="1:89">
      <c r="A774" s="147"/>
      <c r="B774" s="147"/>
      <c r="C774" s="147"/>
      <c r="D774" s="147"/>
      <c r="E774" s="147"/>
      <c r="F774" s="147"/>
      <c r="G774" s="147"/>
      <c r="H774" s="147"/>
      <c r="I774" s="147"/>
      <c r="J774" s="147"/>
      <c r="K774" s="147"/>
      <c r="L774" s="147"/>
      <c r="M774" s="147"/>
      <c r="N774" s="147"/>
      <c r="O774" s="158"/>
      <c r="P774" s="147"/>
      <c r="Q774" s="147"/>
      <c r="R774" s="147"/>
      <c r="S774" s="147"/>
      <c r="T774" s="147"/>
      <c r="U774" s="147"/>
      <c r="V774" s="147"/>
      <c r="W774" s="147"/>
      <c r="X774" s="147"/>
      <c r="Y774" s="147"/>
      <c r="Z774" s="147"/>
      <c r="AA774" s="147"/>
      <c r="AB774" s="147"/>
      <c r="AC774" s="147"/>
      <c r="AD774" s="147"/>
      <c r="AE774" s="147"/>
      <c r="AF774" s="147"/>
      <c r="AG774" s="147"/>
      <c r="AH774" s="147"/>
      <c r="AI774" s="147"/>
      <c r="AJ774" s="147"/>
      <c r="AK774" s="147"/>
      <c r="AL774" s="147"/>
      <c r="AM774" s="147"/>
      <c r="AN774" s="147"/>
      <c r="AO774" s="147"/>
      <c r="AP774" s="147"/>
      <c r="AQ774" s="147"/>
      <c r="AR774" s="147"/>
      <c r="AS774" s="147"/>
      <c r="AT774" s="147"/>
      <c r="AU774" s="147"/>
      <c r="AV774" s="147"/>
      <c r="AW774" s="147"/>
      <c r="AX774" s="147"/>
      <c r="AY774" s="147"/>
      <c r="AZ774" s="147"/>
      <c r="BA774" s="147"/>
      <c r="BB774" s="147"/>
      <c r="BC774" s="147"/>
      <c r="BD774" s="147"/>
      <c r="BE774" s="147"/>
      <c r="BF774" s="147"/>
      <c r="BG774" s="147"/>
      <c r="BH774" s="147"/>
      <c r="BI774" s="147"/>
      <c r="BJ774" s="147"/>
      <c r="BK774" s="147"/>
      <c r="BL774" s="147"/>
      <c r="BM774" s="147"/>
      <c r="BN774" s="147"/>
      <c r="BO774" s="147"/>
      <c r="BP774" s="147"/>
      <c r="BQ774" s="147"/>
      <c r="BR774" s="147"/>
      <c r="BS774" s="147"/>
      <c r="BT774" s="147"/>
      <c r="BU774" s="147"/>
      <c r="BV774" s="147"/>
      <c r="BW774" s="147"/>
      <c r="BX774" s="147"/>
      <c r="BY774" s="147"/>
      <c r="BZ774" s="147"/>
      <c r="CA774" s="147"/>
      <c r="CB774" s="147"/>
      <c r="CC774" s="147"/>
      <c r="CD774" s="147"/>
      <c r="CE774" s="147"/>
      <c r="CF774" s="147"/>
      <c r="CG774" s="147"/>
      <c r="CH774" s="147"/>
      <c r="CI774" s="147"/>
      <c r="CJ774" s="147"/>
      <c r="CK774" s="147"/>
    </row>
    <row r="775" spans="1:89">
      <c r="A775" s="147"/>
      <c r="B775" s="147"/>
      <c r="C775" s="147"/>
      <c r="D775" s="147"/>
      <c r="E775" s="147"/>
      <c r="F775" s="147"/>
      <c r="G775" s="147"/>
      <c r="H775" s="147"/>
      <c r="I775" s="147"/>
      <c r="J775" s="147"/>
      <c r="K775" s="147"/>
      <c r="L775" s="147"/>
      <c r="M775" s="147"/>
      <c r="N775" s="147"/>
      <c r="O775" s="158"/>
      <c r="P775" s="147"/>
      <c r="Q775" s="147"/>
      <c r="R775" s="147"/>
      <c r="S775" s="147"/>
      <c r="T775" s="147"/>
      <c r="U775" s="147"/>
      <c r="V775" s="147"/>
      <c r="W775" s="147"/>
      <c r="X775" s="147"/>
      <c r="Y775" s="147"/>
      <c r="Z775" s="147"/>
      <c r="AA775" s="147"/>
      <c r="AB775" s="147"/>
      <c r="AC775" s="147"/>
      <c r="AD775" s="147"/>
      <c r="AE775" s="147"/>
      <c r="AF775" s="147"/>
      <c r="AG775" s="147"/>
      <c r="AH775" s="147"/>
      <c r="AI775" s="147"/>
      <c r="AJ775" s="147"/>
      <c r="AK775" s="147"/>
      <c r="AL775" s="147"/>
      <c r="AM775" s="147"/>
      <c r="AN775" s="147"/>
      <c r="AO775" s="147"/>
      <c r="AP775" s="147"/>
      <c r="AQ775" s="147"/>
      <c r="AR775" s="147"/>
      <c r="AS775" s="147"/>
      <c r="AT775" s="147"/>
      <c r="AU775" s="147"/>
      <c r="AV775" s="147"/>
      <c r="AW775" s="147"/>
      <c r="AX775" s="147"/>
      <c r="AY775" s="147"/>
      <c r="AZ775" s="147"/>
      <c r="BA775" s="147"/>
      <c r="BB775" s="147"/>
      <c r="BC775" s="147"/>
      <c r="BD775" s="147"/>
      <c r="BE775" s="147"/>
      <c r="BF775" s="147"/>
      <c r="BG775" s="147"/>
      <c r="BH775" s="147"/>
      <c r="BI775" s="147"/>
      <c r="BJ775" s="147"/>
      <c r="BK775" s="147"/>
      <c r="BL775" s="147"/>
      <c r="BM775" s="147"/>
      <c r="BN775" s="147"/>
      <c r="BO775" s="147"/>
      <c r="BP775" s="147"/>
      <c r="BQ775" s="147"/>
      <c r="BR775" s="147"/>
      <c r="BS775" s="147"/>
      <c r="BT775" s="147"/>
      <c r="BU775" s="147"/>
      <c r="BV775" s="147"/>
      <c r="BW775" s="147"/>
      <c r="BX775" s="147"/>
      <c r="BY775" s="147"/>
      <c r="BZ775" s="147"/>
      <c r="CA775" s="147"/>
      <c r="CB775" s="147"/>
      <c r="CC775" s="147"/>
      <c r="CD775" s="147"/>
      <c r="CE775" s="147"/>
      <c r="CF775" s="147"/>
      <c r="CG775" s="147"/>
      <c r="CH775" s="147"/>
      <c r="CI775" s="147"/>
      <c r="CJ775" s="147"/>
      <c r="CK775" s="147"/>
    </row>
    <row r="776" spans="1:89">
      <c r="A776" s="147"/>
      <c r="B776" s="147"/>
      <c r="C776" s="147"/>
      <c r="D776" s="147"/>
      <c r="E776" s="147"/>
      <c r="F776" s="147"/>
      <c r="G776" s="147"/>
      <c r="H776" s="147"/>
      <c r="I776" s="147"/>
      <c r="J776" s="147"/>
      <c r="K776" s="147"/>
      <c r="L776" s="147"/>
      <c r="M776" s="147"/>
      <c r="N776" s="147"/>
      <c r="O776" s="158"/>
      <c r="P776" s="147"/>
      <c r="Q776" s="147"/>
      <c r="R776" s="147"/>
      <c r="S776" s="147"/>
      <c r="T776" s="147"/>
      <c r="U776" s="147"/>
      <c r="V776" s="147"/>
      <c r="W776" s="147"/>
      <c r="X776" s="147"/>
      <c r="Y776" s="147"/>
      <c r="Z776" s="147"/>
      <c r="AA776" s="147"/>
      <c r="AB776" s="147"/>
      <c r="AC776" s="147"/>
      <c r="AD776" s="147"/>
      <c r="AE776" s="147"/>
      <c r="AF776" s="147"/>
      <c r="AG776" s="147"/>
      <c r="AH776" s="147"/>
      <c r="AI776" s="147"/>
      <c r="AJ776" s="147"/>
      <c r="AK776" s="147"/>
      <c r="AL776" s="147"/>
      <c r="AM776" s="147"/>
      <c r="AN776" s="147"/>
      <c r="AO776" s="147"/>
      <c r="AP776" s="147"/>
      <c r="AQ776" s="147"/>
      <c r="AR776" s="147"/>
      <c r="AS776" s="147"/>
      <c r="AT776" s="147"/>
      <c r="AU776" s="147"/>
      <c r="AV776" s="147"/>
      <c r="AW776" s="147"/>
      <c r="AX776" s="147"/>
      <c r="AY776" s="147"/>
      <c r="AZ776" s="147"/>
      <c r="BA776" s="147"/>
      <c r="BB776" s="147"/>
      <c r="BC776" s="147"/>
      <c r="BD776" s="147"/>
      <c r="BE776" s="147"/>
      <c r="BF776" s="147"/>
      <c r="BG776" s="147"/>
      <c r="BH776" s="147"/>
      <c r="BI776" s="147"/>
      <c r="BJ776" s="147"/>
      <c r="BK776" s="147"/>
      <c r="BL776" s="147"/>
      <c r="BM776" s="147"/>
      <c r="BN776" s="147"/>
      <c r="BO776" s="147"/>
      <c r="BP776" s="147"/>
      <c r="BQ776" s="147"/>
      <c r="BR776" s="147"/>
      <c r="BS776" s="147"/>
      <c r="BT776" s="147"/>
      <c r="BU776" s="147"/>
      <c r="BV776" s="147"/>
      <c r="BW776" s="147"/>
      <c r="BX776" s="147"/>
      <c r="BY776" s="147"/>
      <c r="BZ776" s="147"/>
      <c r="CA776" s="147"/>
      <c r="CB776" s="147"/>
      <c r="CC776" s="147"/>
      <c r="CD776" s="147"/>
      <c r="CE776" s="147"/>
      <c r="CF776" s="147"/>
      <c r="CG776" s="147"/>
      <c r="CH776" s="147"/>
      <c r="CI776" s="147"/>
      <c r="CJ776" s="147"/>
      <c r="CK776" s="147"/>
    </row>
    <row r="777" spans="1:89">
      <c r="A777" s="147"/>
      <c r="B777" s="147"/>
      <c r="C777" s="147"/>
      <c r="D777" s="147"/>
      <c r="E777" s="147"/>
      <c r="F777" s="147"/>
      <c r="G777" s="147"/>
      <c r="H777" s="147"/>
      <c r="I777" s="147"/>
      <c r="J777" s="147"/>
      <c r="K777" s="147"/>
      <c r="L777" s="147"/>
      <c r="M777" s="147"/>
      <c r="N777" s="147"/>
      <c r="O777" s="158"/>
      <c r="P777" s="147"/>
      <c r="Q777" s="147"/>
      <c r="R777" s="147"/>
      <c r="S777" s="147"/>
      <c r="T777" s="147"/>
      <c r="U777" s="147"/>
      <c r="V777" s="147"/>
      <c r="W777" s="147"/>
      <c r="X777" s="147"/>
      <c r="Y777" s="147"/>
      <c r="Z777" s="147"/>
      <c r="AA777" s="147"/>
      <c r="AB777" s="147"/>
      <c r="AC777" s="147"/>
      <c r="AD777" s="147"/>
      <c r="AE777" s="147"/>
      <c r="AF777" s="147"/>
      <c r="AG777" s="147"/>
      <c r="AH777" s="147"/>
      <c r="AI777" s="147"/>
      <c r="AJ777" s="147"/>
      <c r="AK777" s="147"/>
      <c r="AL777" s="147"/>
      <c r="AM777" s="147"/>
      <c r="AN777" s="147"/>
      <c r="AO777" s="147"/>
      <c r="AP777" s="147"/>
      <c r="AQ777" s="147"/>
      <c r="AR777" s="147"/>
      <c r="AS777" s="147"/>
      <c r="AT777" s="147"/>
      <c r="AU777" s="147"/>
      <c r="AV777" s="147"/>
      <c r="AW777" s="147"/>
      <c r="AX777" s="147"/>
      <c r="AY777" s="147"/>
      <c r="AZ777" s="147"/>
      <c r="BA777" s="147"/>
      <c r="BB777" s="147"/>
      <c r="BC777" s="147"/>
      <c r="BD777" s="147"/>
      <c r="BE777" s="147"/>
      <c r="BF777" s="147"/>
      <c r="BG777" s="147"/>
      <c r="BH777" s="147"/>
      <c r="BI777" s="147"/>
      <c r="BJ777" s="147"/>
      <c r="BK777" s="147"/>
      <c r="BL777" s="147"/>
      <c r="BM777" s="147"/>
      <c r="BN777" s="147"/>
      <c r="BO777" s="147"/>
      <c r="BP777" s="147"/>
      <c r="BQ777" s="147"/>
      <c r="BR777" s="147"/>
      <c r="BS777" s="147"/>
      <c r="BT777" s="147"/>
      <c r="BU777" s="147"/>
      <c r="BV777" s="147"/>
      <c r="BW777" s="147"/>
      <c r="BX777" s="147"/>
      <c r="BY777" s="147"/>
      <c r="BZ777" s="147"/>
      <c r="CA777" s="147"/>
      <c r="CB777" s="147"/>
      <c r="CC777" s="147"/>
      <c r="CD777" s="147"/>
      <c r="CE777" s="147"/>
      <c r="CF777" s="147"/>
      <c r="CG777" s="147"/>
      <c r="CH777" s="147"/>
      <c r="CI777" s="147"/>
      <c r="CJ777" s="147"/>
      <c r="CK777" s="147"/>
    </row>
    <row r="778" spans="1:89">
      <c r="A778" s="147"/>
      <c r="B778" s="147"/>
      <c r="C778" s="147"/>
      <c r="D778" s="147"/>
      <c r="E778" s="147"/>
      <c r="F778" s="147"/>
      <c r="G778" s="147"/>
      <c r="H778" s="147"/>
      <c r="I778" s="147"/>
      <c r="J778" s="147"/>
      <c r="K778" s="147"/>
      <c r="L778" s="147"/>
      <c r="M778" s="147"/>
      <c r="N778" s="147"/>
      <c r="O778" s="158"/>
      <c r="P778" s="147"/>
      <c r="Q778" s="147"/>
      <c r="R778" s="147"/>
      <c r="S778" s="147"/>
      <c r="T778" s="147"/>
      <c r="U778" s="147"/>
      <c r="V778" s="147"/>
      <c r="W778" s="147"/>
      <c r="X778" s="147"/>
      <c r="Y778" s="147"/>
      <c r="Z778" s="147"/>
      <c r="AA778" s="147"/>
      <c r="AB778" s="147"/>
      <c r="AC778" s="147"/>
      <c r="AD778" s="147"/>
      <c r="AE778" s="147"/>
      <c r="AF778" s="147"/>
      <c r="AG778" s="147"/>
      <c r="AH778" s="147"/>
      <c r="AI778" s="147"/>
      <c r="AJ778" s="147"/>
      <c r="AK778" s="147"/>
      <c r="AL778" s="147"/>
      <c r="AM778" s="147"/>
      <c r="AN778" s="147"/>
      <c r="AO778" s="147"/>
      <c r="AP778" s="147"/>
      <c r="AQ778" s="147"/>
      <c r="AR778" s="147"/>
      <c r="AS778" s="147"/>
      <c r="AT778" s="147"/>
      <c r="AU778" s="147"/>
      <c r="AV778" s="147"/>
      <c r="AW778" s="147"/>
      <c r="AX778" s="147"/>
      <c r="AY778" s="147"/>
      <c r="AZ778" s="147"/>
      <c r="BA778" s="147"/>
      <c r="BB778" s="147"/>
      <c r="BC778" s="147"/>
      <c r="BD778" s="147"/>
      <c r="BE778" s="147"/>
      <c r="BF778" s="147"/>
      <c r="BG778" s="147"/>
      <c r="BH778" s="147"/>
      <c r="BI778" s="147"/>
      <c r="BJ778" s="147"/>
      <c r="BK778" s="147"/>
      <c r="BL778" s="147"/>
      <c r="BM778" s="147"/>
      <c r="BN778" s="147"/>
      <c r="BO778" s="147"/>
      <c r="BP778" s="147"/>
      <c r="BQ778" s="147"/>
      <c r="BR778" s="147"/>
      <c r="BS778" s="147"/>
      <c r="BT778" s="147"/>
      <c r="BU778" s="147"/>
      <c r="BV778" s="147"/>
      <c r="BW778" s="147"/>
      <c r="BX778" s="147"/>
      <c r="BY778" s="147"/>
      <c r="BZ778" s="147"/>
      <c r="CA778" s="147"/>
      <c r="CB778" s="147"/>
      <c r="CC778" s="147"/>
      <c r="CD778" s="147"/>
      <c r="CE778" s="147"/>
      <c r="CF778" s="147"/>
      <c r="CG778" s="147"/>
      <c r="CH778" s="147"/>
      <c r="CI778" s="147"/>
      <c r="CJ778" s="147"/>
      <c r="CK778" s="147"/>
    </row>
    <row r="779" spans="1:89">
      <c r="A779" s="147"/>
      <c r="B779" s="147"/>
      <c r="C779" s="147"/>
      <c r="D779" s="147"/>
      <c r="E779" s="147"/>
      <c r="F779" s="147"/>
      <c r="G779" s="147"/>
      <c r="H779" s="147"/>
      <c r="I779" s="147"/>
      <c r="J779" s="147"/>
      <c r="K779" s="147"/>
      <c r="L779" s="147"/>
      <c r="M779" s="147"/>
      <c r="N779" s="147"/>
      <c r="O779" s="158"/>
      <c r="P779" s="147"/>
      <c r="Q779" s="147"/>
      <c r="R779" s="147"/>
      <c r="S779" s="147"/>
      <c r="T779" s="147"/>
      <c r="U779" s="147"/>
      <c r="V779" s="147"/>
      <c r="W779" s="147"/>
      <c r="X779" s="147"/>
      <c r="Y779" s="147"/>
      <c r="Z779" s="147"/>
      <c r="AA779" s="147"/>
      <c r="AB779" s="147"/>
      <c r="AC779" s="147"/>
      <c r="AD779" s="147"/>
      <c r="AE779" s="147"/>
      <c r="AF779" s="147"/>
      <c r="AG779" s="147"/>
      <c r="AH779" s="147"/>
      <c r="AI779" s="147"/>
      <c r="AJ779" s="147"/>
      <c r="AK779" s="147"/>
      <c r="AL779" s="147"/>
      <c r="AM779" s="147"/>
      <c r="AN779" s="147"/>
      <c r="AO779" s="147"/>
      <c r="AP779" s="147"/>
      <c r="AQ779" s="147"/>
      <c r="AR779" s="147"/>
      <c r="AS779" s="147"/>
      <c r="AT779" s="147"/>
      <c r="AU779" s="147"/>
      <c r="AV779" s="147"/>
      <c r="AW779" s="147"/>
      <c r="AX779" s="147"/>
      <c r="AY779" s="147"/>
      <c r="AZ779" s="147"/>
      <c r="BA779" s="147"/>
      <c r="BB779" s="147"/>
      <c r="BC779" s="147"/>
      <c r="BD779" s="147"/>
      <c r="BE779" s="147"/>
      <c r="BF779" s="147"/>
      <c r="BG779" s="147"/>
      <c r="BH779" s="147"/>
      <c r="BI779" s="147"/>
      <c r="BJ779" s="147"/>
      <c r="BK779" s="147"/>
      <c r="BL779" s="147"/>
      <c r="BM779" s="147"/>
      <c r="BN779" s="147"/>
      <c r="BO779" s="147"/>
      <c r="BP779" s="147"/>
      <c r="BQ779" s="147"/>
      <c r="BR779" s="147"/>
      <c r="BS779" s="147"/>
      <c r="BT779" s="147"/>
      <c r="BU779" s="147"/>
      <c r="BV779" s="147"/>
      <c r="BW779" s="147"/>
      <c r="BX779" s="147"/>
      <c r="BY779" s="147"/>
      <c r="BZ779" s="147"/>
      <c r="CA779" s="147"/>
      <c r="CB779" s="147"/>
      <c r="CC779" s="147"/>
      <c r="CD779" s="147"/>
      <c r="CE779" s="147"/>
      <c r="CF779" s="147"/>
      <c r="CG779" s="147"/>
      <c r="CH779" s="147"/>
      <c r="CI779" s="147"/>
      <c r="CJ779" s="147"/>
      <c r="CK779" s="147"/>
    </row>
    <row r="780" spans="1:89">
      <c r="A780" s="147"/>
      <c r="B780" s="147"/>
      <c r="C780" s="147"/>
      <c r="D780" s="147"/>
      <c r="E780" s="147"/>
      <c r="F780" s="147"/>
      <c r="G780" s="147"/>
      <c r="H780" s="147"/>
      <c r="I780" s="147"/>
      <c r="J780" s="147"/>
      <c r="K780" s="147"/>
      <c r="L780" s="147"/>
      <c r="M780" s="147"/>
      <c r="N780" s="147"/>
      <c r="O780" s="158"/>
      <c r="P780" s="147"/>
      <c r="Q780" s="147"/>
      <c r="R780" s="147"/>
      <c r="S780" s="147"/>
      <c r="T780" s="147"/>
      <c r="U780" s="147"/>
      <c r="V780" s="147"/>
      <c r="W780" s="147"/>
      <c r="X780" s="147"/>
      <c r="Y780" s="147"/>
      <c r="Z780" s="147"/>
      <c r="AA780" s="147"/>
      <c r="AB780" s="147"/>
      <c r="AC780" s="147"/>
      <c r="AD780" s="147"/>
      <c r="AE780" s="147"/>
      <c r="AF780" s="147"/>
      <c r="AG780" s="147"/>
      <c r="AH780" s="147"/>
      <c r="AI780" s="147"/>
      <c r="AJ780" s="147"/>
      <c r="AK780" s="147"/>
      <c r="AL780" s="147"/>
      <c r="AM780" s="147"/>
      <c r="AN780" s="147"/>
      <c r="AO780" s="147"/>
      <c r="AP780" s="147"/>
      <c r="AQ780" s="147"/>
      <c r="AR780" s="147"/>
      <c r="AS780" s="147"/>
      <c r="AT780" s="147"/>
      <c r="AU780" s="147"/>
      <c r="AV780" s="147"/>
      <c r="AW780" s="147"/>
      <c r="AX780" s="147"/>
      <c r="AY780" s="147"/>
      <c r="AZ780" s="147"/>
      <c r="BA780" s="147"/>
      <c r="BB780" s="147"/>
      <c r="BC780" s="147"/>
      <c r="BD780" s="147"/>
      <c r="BE780" s="147"/>
      <c r="BF780" s="147"/>
      <c r="BG780" s="147"/>
      <c r="BH780" s="147"/>
      <c r="BI780" s="147"/>
      <c r="BJ780" s="147"/>
      <c r="BK780" s="147"/>
      <c r="BL780" s="147"/>
      <c r="BM780" s="147"/>
      <c r="BN780" s="147"/>
      <c r="BO780" s="147"/>
      <c r="BP780" s="147"/>
      <c r="BQ780" s="147"/>
      <c r="BR780" s="147"/>
      <c r="BS780" s="147"/>
      <c r="BT780" s="147"/>
      <c r="BU780" s="147"/>
      <c r="BV780" s="147"/>
      <c r="BW780" s="147"/>
      <c r="BX780" s="147"/>
      <c r="BY780" s="147"/>
      <c r="BZ780" s="147"/>
      <c r="CA780" s="147"/>
      <c r="CB780" s="147"/>
      <c r="CC780" s="147"/>
      <c r="CD780" s="147"/>
      <c r="CE780" s="147"/>
      <c r="CF780" s="147"/>
      <c r="CG780" s="147"/>
      <c r="CH780" s="147"/>
      <c r="CI780" s="147"/>
      <c r="CJ780" s="147"/>
      <c r="CK780" s="147"/>
    </row>
    <row r="781" spans="1:89">
      <c r="A781" s="147"/>
      <c r="B781" s="147"/>
      <c r="C781" s="147"/>
      <c r="D781" s="147"/>
      <c r="E781" s="147"/>
      <c r="F781" s="147"/>
      <c r="G781" s="147"/>
      <c r="H781" s="147"/>
      <c r="I781" s="147"/>
      <c r="J781" s="147"/>
      <c r="K781" s="147"/>
      <c r="L781" s="147"/>
      <c r="M781" s="147"/>
      <c r="N781" s="147"/>
      <c r="O781" s="158"/>
      <c r="P781" s="147"/>
      <c r="Q781" s="147"/>
      <c r="R781" s="147"/>
      <c r="S781" s="147"/>
      <c r="T781" s="147"/>
      <c r="U781" s="147"/>
      <c r="V781" s="147"/>
      <c r="W781" s="147"/>
      <c r="X781" s="147"/>
      <c r="Y781" s="147"/>
      <c r="Z781" s="147"/>
      <c r="AA781" s="147"/>
      <c r="AB781" s="147"/>
      <c r="AC781" s="147"/>
      <c r="AD781" s="147"/>
      <c r="AE781" s="147"/>
      <c r="AF781" s="147"/>
      <c r="AG781" s="147"/>
      <c r="AH781" s="147"/>
      <c r="AI781" s="147"/>
      <c r="AJ781" s="147"/>
      <c r="AK781" s="147"/>
      <c r="AL781" s="147"/>
      <c r="AM781" s="147"/>
      <c r="AN781" s="147"/>
      <c r="AO781" s="147"/>
      <c r="AP781" s="147"/>
      <c r="AQ781" s="147"/>
      <c r="AR781" s="147"/>
      <c r="AS781" s="147"/>
      <c r="AT781" s="147"/>
      <c r="AU781" s="147"/>
      <c r="AV781" s="147"/>
      <c r="AW781" s="147"/>
      <c r="AX781" s="147"/>
      <c r="AY781" s="147"/>
      <c r="AZ781" s="147"/>
      <c r="BA781" s="147"/>
      <c r="BB781" s="147"/>
      <c r="BC781" s="147"/>
      <c r="BD781" s="147"/>
      <c r="BE781" s="147"/>
      <c r="BF781" s="147"/>
      <c r="BG781" s="147"/>
      <c r="BH781" s="147"/>
      <c r="BI781" s="147"/>
      <c r="BJ781" s="147"/>
      <c r="BK781" s="147"/>
      <c r="BL781" s="147"/>
      <c r="BM781" s="147"/>
      <c r="BN781" s="147"/>
      <c r="BO781" s="147"/>
      <c r="BP781" s="147"/>
      <c r="BQ781" s="147"/>
      <c r="BR781" s="147"/>
      <c r="BS781" s="147"/>
      <c r="BT781" s="147"/>
      <c r="BU781" s="147"/>
      <c r="BV781" s="147"/>
      <c r="BW781" s="147"/>
      <c r="BX781" s="147"/>
      <c r="BY781" s="147"/>
      <c r="BZ781" s="147"/>
      <c r="CA781" s="147"/>
      <c r="CB781" s="147"/>
      <c r="CC781" s="147"/>
      <c r="CD781" s="147"/>
      <c r="CE781" s="147"/>
      <c r="CF781" s="147"/>
      <c r="CG781" s="147"/>
      <c r="CH781" s="147"/>
      <c r="CI781" s="147"/>
      <c r="CJ781" s="147"/>
      <c r="CK781" s="147"/>
    </row>
    <row r="782" spans="1:89">
      <c r="A782" s="147"/>
      <c r="B782" s="147"/>
      <c r="C782" s="147"/>
      <c r="D782" s="147"/>
      <c r="E782" s="147"/>
      <c r="F782" s="147"/>
      <c r="G782" s="147"/>
      <c r="H782" s="147"/>
      <c r="I782" s="147"/>
      <c r="J782" s="147"/>
      <c r="K782" s="147"/>
      <c r="L782" s="147"/>
      <c r="M782" s="147"/>
      <c r="N782" s="147"/>
      <c r="O782" s="158"/>
      <c r="P782" s="147"/>
      <c r="Q782" s="147"/>
      <c r="R782" s="147"/>
      <c r="S782" s="147"/>
      <c r="T782" s="147"/>
      <c r="U782" s="147"/>
      <c r="V782" s="147"/>
      <c r="W782" s="147"/>
      <c r="X782" s="147"/>
      <c r="Y782" s="147"/>
      <c r="Z782" s="147"/>
      <c r="AA782" s="147"/>
      <c r="AB782" s="147"/>
      <c r="AC782" s="147"/>
      <c r="AD782" s="147"/>
      <c r="AE782" s="147"/>
      <c r="AF782" s="147"/>
      <c r="AG782" s="147"/>
      <c r="AH782" s="147"/>
      <c r="AI782" s="147"/>
      <c r="AJ782" s="147"/>
      <c r="AK782" s="147"/>
      <c r="AL782" s="147"/>
      <c r="AM782" s="147"/>
      <c r="AN782" s="147"/>
      <c r="AO782" s="147"/>
      <c r="AP782" s="147"/>
      <c r="AQ782" s="147"/>
      <c r="AR782" s="147"/>
      <c r="AS782" s="147"/>
      <c r="AT782" s="147"/>
      <c r="AU782" s="147"/>
      <c r="AV782" s="147"/>
      <c r="AW782" s="147"/>
      <c r="AX782" s="147"/>
      <c r="AY782" s="147"/>
      <c r="AZ782" s="147"/>
      <c r="BA782" s="147"/>
      <c r="BB782" s="147"/>
      <c r="BC782" s="147"/>
      <c r="BD782" s="147"/>
      <c r="BE782" s="147"/>
      <c r="BF782" s="147"/>
      <c r="BG782" s="147"/>
      <c r="BH782" s="147"/>
      <c r="BI782" s="147"/>
      <c r="BJ782" s="147"/>
      <c r="BK782" s="147"/>
      <c r="BL782" s="147"/>
      <c r="BM782" s="147"/>
      <c r="BN782" s="147"/>
      <c r="BO782" s="147"/>
      <c r="BP782" s="147"/>
      <c r="BQ782" s="147"/>
      <c r="BR782" s="147"/>
      <c r="BS782" s="147"/>
      <c r="BT782" s="147"/>
      <c r="BU782" s="147"/>
      <c r="BV782" s="147"/>
      <c r="BW782" s="147"/>
      <c r="BX782" s="147"/>
      <c r="BY782" s="147"/>
      <c r="BZ782" s="147"/>
      <c r="CA782" s="147"/>
      <c r="CB782" s="147"/>
      <c r="CC782" s="147"/>
      <c r="CD782" s="147"/>
      <c r="CE782" s="147"/>
      <c r="CF782" s="147"/>
      <c r="CG782" s="147"/>
      <c r="CH782" s="147"/>
      <c r="CI782" s="147"/>
      <c r="CJ782" s="147"/>
      <c r="CK782" s="147"/>
    </row>
    <row r="783" spans="1:89">
      <c r="A783" s="147"/>
      <c r="B783" s="147"/>
      <c r="C783" s="147"/>
      <c r="D783" s="147"/>
      <c r="E783" s="147"/>
      <c r="F783" s="147"/>
      <c r="G783" s="147"/>
      <c r="H783" s="147"/>
      <c r="I783" s="147"/>
      <c r="J783" s="147"/>
      <c r="K783" s="147"/>
      <c r="L783" s="147"/>
      <c r="M783" s="147"/>
      <c r="N783" s="147"/>
      <c r="O783" s="158"/>
      <c r="P783" s="147"/>
      <c r="Q783" s="147"/>
      <c r="R783" s="147"/>
      <c r="S783" s="147"/>
      <c r="T783" s="147"/>
      <c r="U783" s="147"/>
      <c r="V783" s="147"/>
      <c r="W783" s="147"/>
      <c r="X783" s="147"/>
      <c r="Y783" s="147"/>
      <c r="Z783" s="147"/>
      <c r="AA783" s="147"/>
      <c r="AB783" s="147"/>
      <c r="AC783" s="147"/>
      <c r="AD783" s="147"/>
      <c r="AE783" s="147"/>
      <c r="AF783" s="147"/>
      <c r="AG783" s="147"/>
      <c r="AH783" s="147"/>
      <c r="AI783" s="147"/>
      <c r="AJ783" s="147"/>
      <c r="AK783" s="147"/>
      <c r="AL783" s="147"/>
      <c r="AM783" s="147"/>
      <c r="AN783" s="147"/>
      <c r="AO783" s="147"/>
      <c r="AP783" s="147"/>
      <c r="AQ783" s="147"/>
      <c r="AR783" s="147"/>
      <c r="AS783" s="147"/>
      <c r="AT783" s="147"/>
      <c r="AU783" s="147"/>
      <c r="AV783" s="147"/>
      <c r="AW783" s="147"/>
      <c r="AX783" s="147"/>
      <c r="AY783" s="147"/>
      <c r="AZ783" s="147"/>
      <c r="BA783" s="147"/>
      <c r="BB783" s="147"/>
      <c r="BC783" s="147"/>
      <c r="BD783" s="147"/>
      <c r="BE783" s="147"/>
      <c r="BF783" s="147"/>
      <c r="BG783" s="147"/>
      <c r="BH783" s="147"/>
      <c r="BI783" s="147"/>
      <c r="BJ783" s="147"/>
      <c r="BK783" s="147"/>
      <c r="BL783" s="147"/>
      <c r="BM783" s="147"/>
      <c r="BN783" s="147"/>
      <c r="BO783" s="147"/>
      <c r="BP783" s="147"/>
      <c r="BQ783" s="147"/>
      <c r="BR783" s="147"/>
      <c r="BS783" s="147"/>
      <c r="BT783" s="147"/>
      <c r="BU783" s="147"/>
      <c r="BV783" s="147"/>
      <c r="BW783" s="147"/>
      <c r="BX783" s="147"/>
      <c r="BY783" s="147"/>
      <c r="BZ783" s="147"/>
      <c r="CA783" s="147"/>
      <c r="CB783" s="147"/>
      <c r="CC783" s="147"/>
      <c r="CD783" s="147"/>
      <c r="CE783" s="147"/>
      <c r="CF783" s="147"/>
      <c r="CG783" s="147"/>
      <c r="CH783" s="147"/>
      <c r="CI783" s="147"/>
      <c r="CJ783" s="147"/>
      <c r="CK783" s="147"/>
    </row>
    <row r="784" spans="1:89">
      <c r="A784" s="147"/>
      <c r="B784" s="147"/>
      <c r="C784" s="147"/>
      <c r="D784" s="147"/>
      <c r="E784" s="147"/>
      <c r="F784" s="147"/>
      <c r="G784" s="147"/>
      <c r="H784" s="147"/>
      <c r="I784" s="147"/>
      <c r="J784" s="147"/>
      <c r="K784" s="147"/>
      <c r="L784" s="147"/>
      <c r="M784" s="147"/>
      <c r="N784" s="147"/>
      <c r="O784" s="158"/>
      <c r="P784" s="147"/>
      <c r="Q784" s="147"/>
      <c r="R784" s="147"/>
      <c r="S784" s="147"/>
      <c r="T784" s="147"/>
      <c r="U784" s="147"/>
      <c r="V784" s="147"/>
      <c r="W784" s="147"/>
      <c r="X784" s="147"/>
      <c r="Y784" s="147"/>
      <c r="Z784" s="147"/>
      <c r="AA784" s="147"/>
      <c r="AB784" s="147"/>
      <c r="AC784" s="147"/>
      <c r="AD784" s="147"/>
      <c r="AE784" s="147"/>
      <c r="AF784" s="147"/>
      <c r="AG784" s="147"/>
      <c r="AH784" s="147"/>
      <c r="AI784" s="147"/>
      <c r="AJ784" s="147"/>
      <c r="AK784" s="147"/>
      <c r="AL784" s="147"/>
      <c r="AM784" s="147"/>
      <c r="AN784" s="147"/>
      <c r="AO784" s="147"/>
      <c r="AP784" s="147"/>
      <c r="AQ784" s="147"/>
      <c r="AR784" s="147"/>
      <c r="AS784" s="147"/>
      <c r="AT784" s="147"/>
      <c r="AU784" s="147"/>
      <c r="AV784" s="147"/>
      <c r="AW784" s="147"/>
      <c r="AX784" s="147"/>
      <c r="AY784" s="147"/>
      <c r="AZ784" s="147"/>
      <c r="BA784" s="147"/>
      <c r="BB784" s="147"/>
      <c r="BC784" s="147"/>
      <c r="BD784" s="147"/>
      <c r="BE784" s="147"/>
      <c r="BF784" s="147"/>
      <c r="BG784" s="147"/>
      <c r="BH784" s="147"/>
      <c r="BI784" s="147"/>
      <c r="BJ784" s="147"/>
      <c r="BK784" s="147"/>
      <c r="BL784" s="147"/>
      <c r="BM784" s="147"/>
      <c r="BN784" s="147"/>
      <c r="BO784" s="147"/>
      <c r="BP784" s="147"/>
      <c r="BQ784" s="147"/>
      <c r="BR784" s="147"/>
      <c r="BS784" s="147"/>
      <c r="BT784" s="147"/>
      <c r="BU784" s="147"/>
      <c r="BV784" s="147"/>
      <c r="BW784" s="147"/>
      <c r="BX784" s="147"/>
      <c r="BY784" s="147"/>
      <c r="BZ784" s="147"/>
      <c r="CA784" s="147"/>
      <c r="CB784" s="147"/>
      <c r="CC784" s="147"/>
      <c r="CD784" s="147"/>
      <c r="CE784" s="147"/>
      <c r="CF784" s="147"/>
      <c r="CG784" s="147"/>
      <c r="CH784" s="147"/>
      <c r="CI784" s="147"/>
      <c r="CJ784" s="147"/>
      <c r="CK784" s="147"/>
    </row>
    <row r="785" spans="1:89">
      <c r="A785" s="147"/>
      <c r="B785" s="147"/>
      <c r="C785" s="147"/>
      <c r="D785" s="147"/>
      <c r="E785" s="147"/>
      <c r="F785" s="147"/>
      <c r="G785" s="147"/>
      <c r="H785" s="147"/>
      <c r="I785" s="147"/>
      <c r="J785" s="147"/>
      <c r="K785" s="147"/>
      <c r="L785" s="147"/>
      <c r="M785" s="147"/>
      <c r="N785" s="147"/>
      <c r="O785" s="158"/>
      <c r="P785" s="147"/>
      <c r="Q785" s="147"/>
      <c r="R785" s="147"/>
      <c r="S785" s="147"/>
      <c r="T785" s="147"/>
      <c r="U785" s="147"/>
      <c r="V785" s="147"/>
      <c r="W785" s="147"/>
      <c r="X785" s="147"/>
      <c r="Y785" s="147"/>
      <c r="Z785" s="147"/>
      <c r="AA785" s="147"/>
      <c r="AB785" s="147"/>
      <c r="AC785" s="147"/>
      <c r="AD785" s="147"/>
      <c r="AE785" s="147"/>
      <c r="AF785" s="147"/>
      <c r="AG785" s="147"/>
      <c r="AH785" s="147"/>
      <c r="AI785" s="147"/>
      <c r="AJ785" s="147"/>
      <c r="AK785" s="147"/>
      <c r="AL785" s="147"/>
      <c r="AM785" s="147"/>
      <c r="AN785" s="147"/>
      <c r="AO785" s="147"/>
      <c r="AP785" s="147"/>
      <c r="AQ785" s="147"/>
      <c r="AR785" s="147"/>
      <c r="AS785" s="147"/>
      <c r="AT785" s="147"/>
      <c r="AU785" s="147"/>
      <c r="AV785" s="147"/>
      <c r="AW785" s="147"/>
      <c r="AX785" s="147"/>
      <c r="AY785" s="147"/>
      <c r="AZ785" s="147"/>
      <c r="BA785" s="147"/>
      <c r="BB785" s="147"/>
      <c r="BC785" s="147"/>
      <c r="BD785" s="147"/>
      <c r="BE785" s="147"/>
      <c r="BF785" s="147"/>
      <c r="BG785" s="147"/>
      <c r="BH785" s="147"/>
      <c r="BI785" s="147"/>
      <c r="BJ785" s="147"/>
      <c r="BK785" s="147"/>
      <c r="BL785" s="147"/>
      <c r="BM785" s="147"/>
      <c r="BN785" s="147"/>
      <c r="BO785" s="147"/>
      <c r="BP785" s="147"/>
      <c r="BQ785" s="147"/>
      <c r="BR785" s="147"/>
      <c r="BS785" s="147"/>
      <c r="BT785" s="147"/>
      <c r="BU785" s="147"/>
      <c r="BV785" s="147"/>
      <c r="BW785" s="147"/>
      <c r="BX785" s="147"/>
      <c r="BY785" s="147"/>
      <c r="BZ785" s="147"/>
      <c r="CA785" s="147"/>
      <c r="CB785" s="147"/>
      <c r="CC785" s="147"/>
      <c r="CD785" s="147"/>
      <c r="CE785" s="147"/>
      <c r="CF785" s="147"/>
      <c r="CG785" s="147"/>
      <c r="CH785" s="147"/>
      <c r="CI785" s="147"/>
      <c r="CJ785" s="147"/>
      <c r="CK785" s="147"/>
    </row>
    <row r="786" spans="1:89">
      <c r="A786" s="147"/>
      <c r="B786" s="147"/>
      <c r="C786" s="147"/>
      <c r="D786" s="147"/>
      <c r="E786" s="147"/>
      <c r="F786" s="147"/>
      <c r="G786" s="147"/>
      <c r="H786" s="147"/>
      <c r="I786" s="147"/>
      <c r="J786" s="147"/>
      <c r="K786" s="147"/>
      <c r="L786" s="147"/>
      <c r="M786" s="147"/>
      <c r="N786" s="147"/>
      <c r="O786" s="158"/>
      <c r="P786" s="147"/>
      <c r="Q786" s="147"/>
      <c r="R786" s="147"/>
      <c r="S786" s="147"/>
      <c r="T786" s="147"/>
      <c r="U786" s="147"/>
      <c r="V786" s="147"/>
      <c r="W786" s="147"/>
      <c r="X786" s="147"/>
      <c r="Y786" s="147"/>
      <c r="Z786" s="147"/>
      <c r="AA786" s="147"/>
      <c r="AB786" s="147"/>
      <c r="AC786" s="147"/>
      <c r="AD786" s="147"/>
      <c r="AE786" s="147"/>
      <c r="AF786" s="147"/>
      <c r="AG786" s="147"/>
      <c r="AH786" s="147"/>
      <c r="AI786" s="147"/>
      <c r="AJ786" s="147"/>
      <c r="AK786" s="147"/>
      <c r="AL786" s="147"/>
      <c r="AM786" s="147"/>
      <c r="AN786" s="147"/>
      <c r="AO786" s="147"/>
      <c r="AP786" s="147"/>
      <c r="AQ786" s="147"/>
      <c r="AR786" s="147"/>
      <c r="AS786" s="147"/>
      <c r="AT786" s="147"/>
      <c r="AU786" s="147"/>
      <c r="AV786" s="147"/>
      <c r="AW786" s="147"/>
      <c r="AX786" s="147"/>
      <c r="AY786" s="147"/>
      <c r="AZ786" s="147"/>
      <c r="BA786" s="147"/>
      <c r="BB786" s="147"/>
      <c r="BC786" s="147"/>
      <c r="BD786" s="147"/>
      <c r="BE786" s="147"/>
      <c r="BF786" s="147"/>
      <c r="BG786" s="147"/>
      <c r="BH786" s="147"/>
      <c r="BI786" s="147"/>
      <c r="BJ786" s="147"/>
      <c r="BK786" s="147"/>
      <c r="BL786" s="147"/>
      <c r="BM786" s="147"/>
      <c r="BN786" s="147"/>
      <c r="BO786" s="147"/>
      <c r="BP786" s="147"/>
      <c r="BQ786" s="147"/>
      <c r="BR786" s="147"/>
      <c r="BS786" s="147"/>
      <c r="BT786" s="147"/>
      <c r="BU786" s="147"/>
      <c r="BV786" s="147"/>
      <c r="BW786" s="147"/>
      <c r="BX786" s="147"/>
      <c r="BY786" s="147"/>
      <c r="BZ786" s="147"/>
      <c r="CA786" s="147"/>
      <c r="CB786" s="147"/>
      <c r="CC786" s="147"/>
      <c r="CD786" s="147"/>
      <c r="CE786" s="147"/>
      <c r="CF786" s="147"/>
      <c r="CG786" s="147"/>
      <c r="CH786" s="147"/>
      <c r="CI786" s="147"/>
      <c r="CJ786" s="147"/>
      <c r="CK786" s="147"/>
    </row>
    <row r="787" spans="1:89">
      <c r="A787" s="147"/>
      <c r="B787" s="147"/>
      <c r="C787" s="147"/>
      <c r="D787" s="147"/>
      <c r="E787" s="147"/>
      <c r="F787" s="147"/>
      <c r="G787" s="147"/>
      <c r="H787" s="147"/>
      <c r="I787" s="147"/>
      <c r="J787" s="147"/>
      <c r="K787" s="147"/>
      <c r="L787" s="147"/>
      <c r="M787" s="147"/>
      <c r="N787" s="147"/>
      <c r="O787" s="158"/>
      <c r="P787" s="147"/>
      <c r="Q787" s="147"/>
      <c r="R787" s="147"/>
      <c r="S787" s="147"/>
      <c r="T787" s="147"/>
      <c r="U787" s="147"/>
      <c r="V787" s="147"/>
      <c r="W787" s="147"/>
      <c r="X787" s="147"/>
      <c r="Y787" s="147"/>
      <c r="Z787" s="147"/>
      <c r="AA787" s="147"/>
      <c r="AB787" s="147"/>
      <c r="AC787" s="147"/>
      <c r="AD787" s="147"/>
      <c r="AE787" s="147"/>
      <c r="AF787" s="147"/>
      <c r="AG787" s="147"/>
      <c r="AH787" s="147"/>
      <c r="AI787" s="147"/>
      <c r="AJ787" s="147"/>
      <c r="AK787" s="147"/>
      <c r="AL787" s="147"/>
      <c r="AM787" s="147"/>
      <c r="AN787" s="147"/>
      <c r="AO787" s="147"/>
      <c r="AP787" s="147"/>
      <c r="AQ787" s="147"/>
      <c r="AR787" s="147"/>
      <c r="AS787" s="147"/>
      <c r="AT787" s="147"/>
      <c r="AU787" s="147"/>
      <c r="AV787" s="147"/>
      <c r="AW787" s="147"/>
      <c r="AX787" s="147"/>
      <c r="AY787" s="147"/>
      <c r="AZ787" s="147"/>
      <c r="BA787" s="147"/>
      <c r="BB787" s="147"/>
      <c r="BC787" s="147"/>
      <c r="BD787" s="147"/>
      <c r="BE787" s="147"/>
      <c r="BF787" s="147"/>
      <c r="BG787" s="147"/>
      <c r="BH787" s="147"/>
      <c r="BI787" s="147"/>
      <c r="BJ787" s="147"/>
      <c r="BK787" s="147"/>
      <c r="BL787" s="147"/>
      <c r="BM787" s="147"/>
      <c r="BN787" s="147"/>
      <c r="BO787" s="147"/>
      <c r="BP787" s="147"/>
      <c r="BQ787" s="147"/>
      <c r="BR787" s="147"/>
      <c r="BS787" s="147"/>
      <c r="BT787" s="147"/>
      <c r="BU787" s="147"/>
      <c r="BV787" s="147"/>
      <c r="BW787" s="147"/>
      <c r="BX787" s="147"/>
      <c r="BY787" s="147"/>
      <c r="BZ787" s="147"/>
      <c r="CA787" s="147"/>
      <c r="CB787" s="147"/>
      <c r="CC787" s="147"/>
      <c r="CD787" s="147"/>
      <c r="CE787" s="147"/>
      <c r="CF787" s="147"/>
      <c r="CG787" s="147"/>
      <c r="CH787" s="147"/>
      <c r="CI787" s="147"/>
      <c r="CJ787" s="147"/>
      <c r="CK787" s="147"/>
    </row>
    <row r="788" spans="1:89">
      <c r="A788" s="147"/>
      <c r="B788" s="147"/>
      <c r="C788" s="147"/>
      <c r="D788" s="147"/>
      <c r="E788" s="147"/>
      <c r="F788" s="147"/>
      <c r="G788" s="147"/>
      <c r="H788" s="147"/>
      <c r="I788" s="147"/>
      <c r="J788" s="147"/>
      <c r="K788" s="147"/>
      <c r="L788" s="147"/>
      <c r="M788" s="147"/>
      <c r="N788" s="147"/>
      <c r="O788" s="158"/>
      <c r="P788" s="147"/>
      <c r="Q788" s="147"/>
      <c r="R788" s="147"/>
      <c r="S788" s="147"/>
      <c r="T788" s="147"/>
      <c r="U788" s="147"/>
      <c r="V788" s="147"/>
      <c r="W788" s="147"/>
      <c r="X788" s="147"/>
      <c r="Y788" s="147"/>
      <c r="Z788" s="147"/>
      <c r="AA788" s="147"/>
      <c r="AB788" s="147"/>
      <c r="AC788" s="147"/>
      <c r="AD788" s="147"/>
      <c r="AE788" s="147"/>
      <c r="AF788" s="147"/>
      <c r="AG788" s="147"/>
      <c r="AH788" s="147"/>
      <c r="AI788" s="147"/>
      <c r="AJ788" s="147"/>
      <c r="AK788" s="147"/>
      <c r="AL788" s="147"/>
      <c r="AM788" s="147"/>
      <c r="AN788" s="147"/>
      <c r="AO788" s="147"/>
      <c r="AP788" s="147"/>
      <c r="AQ788" s="147"/>
      <c r="AR788" s="147"/>
      <c r="AS788" s="147"/>
      <c r="AT788" s="147"/>
      <c r="AU788" s="147"/>
      <c r="AV788" s="147"/>
      <c r="AW788" s="147"/>
      <c r="AX788" s="147"/>
      <c r="AY788" s="147"/>
      <c r="AZ788" s="147"/>
      <c r="BA788" s="147"/>
      <c r="BB788" s="147"/>
      <c r="BC788" s="147"/>
      <c r="BD788" s="147"/>
      <c r="BE788" s="147"/>
      <c r="BF788" s="147"/>
      <c r="BG788" s="147"/>
      <c r="BH788" s="147"/>
      <c r="BI788" s="147"/>
      <c r="BJ788" s="147"/>
      <c r="BK788" s="147"/>
      <c r="BL788" s="147"/>
      <c r="BM788" s="147"/>
      <c r="BN788" s="147"/>
      <c r="BO788" s="147"/>
      <c r="BP788" s="147"/>
      <c r="BQ788" s="147"/>
      <c r="BR788" s="147"/>
      <c r="BS788" s="147"/>
      <c r="BT788" s="147"/>
      <c r="BU788" s="147"/>
      <c r="BV788" s="147"/>
      <c r="BW788" s="147"/>
      <c r="BX788" s="147"/>
      <c r="BY788" s="147"/>
      <c r="BZ788" s="147"/>
      <c r="CA788" s="147"/>
      <c r="CB788" s="147"/>
      <c r="CC788" s="147"/>
      <c r="CD788" s="147"/>
      <c r="CE788" s="147"/>
      <c r="CF788" s="147"/>
      <c r="CG788" s="147"/>
      <c r="CH788" s="147"/>
      <c r="CI788" s="147"/>
      <c r="CJ788" s="147"/>
      <c r="CK788" s="147"/>
    </row>
    <row r="789" spans="1:89">
      <c r="A789" s="147"/>
      <c r="B789" s="147"/>
      <c r="C789" s="147"/>
      <c r="D789" s="147"/>
      <c r="E789" s="147"/>
      <c r="F789" s="147"/>
      <c r="G789" s="147"/>
      <c r="H789" s="147"/>
      <c r="I789" s="147"/>
      <c r="J789" s="147"/>
      <c r="K789" s="147"/>
      <c r="L789" s="147"/>
      <c r="M789" s="147"/>
      <c r="N789" s="147"/>
      <c r="O789" s="158"/>
      <c r="P789" s="147"/>
      <c r="Q789" s="147"/>
      <c r="R789" s="147"/>
      <c r="S789" s="147"/>
      <c r="T789" s="147"/>
      <c r="U789" s="147"/>
      <c r="V789" s="147"/>
      <c r="W789" s="147"/>
      <c r="X789" s="147"/>
      <c r="Y789" s="147"/>
      <c r="Z789" s="147"/>
      <c r="AA789" s="147"/>
      <c r="AB789" s="147"/>
      <c r="AC789" s="147"/>
      <c r="AD789" s="147"/>
      <c r="AE789" s="147"/>
      <c r="AF789" s="147"/>
      <c r="AG789" s="147"/>
      <c r="AH789" s="147"/>
      <c r="AI789" s="147"/>
      <c r="AJ789" s="147"/>
      <c r="AK789" s="147"/>
      <c r="AL789" s="147"/>
      <c r="AM789" s="147"/>
      <c r="AN789" s="147"/>
      <c r="AO789" s="147"/>
      <c r="AP789" s="147"/>
      <c r="AQ789" s="147"/>
      <c r="AR789" s="147"/>
      <c r="AS789" s="147"/>
      <c r="AT789" s="147"/>
      <c r="AU789" s="147"/>
      <c r="AV789" s="147"/>
      <c r="AW789" s="147"/>
      <c r="AX789" s="147"/>
      <c r="AY789" s="147"/>
      <c r="AZ789" s="147"/>
      <c r="BA789" s="147"/>
      <c r="BB789" s="147"/>
      <c r="BC789" s="147"/>
      <c r="BD789" s="147"/>
      <c r="BE789" s="147"/>
      <c r="BF789" s="147"/>
      <c r="BG789" s="147"/>
      <c r="BH789" s="147"/>
      <c r="BI789" s="147"/>
      <c r="BJ789" s="147"/>
      <c r="BK789" s="147"/>
      <c r="BL789" s="147"/>
      <c r="BM789" s="147"/>
      <c r="BN789" s="147"/>
      <c r="BO789" s="147"/>
      <c r="BP789" s="147"/>
      <c r="BQ789" s="147"/>
      <c r="BR789" s="147"/>
      <c r="BS789" s="147"/>
      <c r="BT789" s="147"/>
      <c r="BU789" s="147"/>
      <c r="BV789" s="147"/>
      <c r="BW789" s="147"/>
      <c r="BX789" s="147"/>
      <c r="BY789" s="147"/>
      <c r="BZ789" s="147"/>
      <c r="CA789" s="147"/>
      <c r="CB789" s="147"/>
      <c r="CC789" s="147"/>
      <c r="CD789" s="147"/>
      <c r="CE789" s="147"/>
      <c r="CF789" s="147"/>
      <c r="CG789" s="147"/>
      <c r="CH789" s="147"/>
      <c r="CI789" s="147"/>
      <c r="CJ789" s="147"/>
      <c r="CK789" s="147"/>
    </row>
    <row r="790" spans="1:89">
      <c r="A790" s="147"/>
      <c r="B790" s="147"/>
      <c r="C790" s="147"/>
      <c r="D790" s="147"/>
      <c r="E790" s="147"/>
      <c r="F790" s="147"/>
      <c r="G790" s="147"/>
      <c r="H790" s="147"/>
      <c r="I790" s="147"/>
      <c r="J790" s="147"/>
      <c r="K790" s="147"/>
      <c r="L790" s="147"/>
      <c r="M790" s="147"/>
      <c r="N790" s="147"/>
      <c r="O790" s="158"/>
      <c r="P790" s="147"/>
      <c r="Q790" s="147"/>
      <c r="R790" s="147"/>
      <c r="S790" s="147"/>
      <c r="T790" s="147"/>
      <c r="U790" s="147"/>
      <c r="V790" s="147"/>
      <c r="W790" s="147"/>
      <c r="X790" s="147"/>
      <c r="Y790" s="147"/>
      <c r="Z790" s="147"/>
      <c r="AA790" s="147"/>
      <c r="AB790" s="147"/>
      <c r="AC790" s="147"/>
      <c r="AD790" s="147"/>
      <c r="AE790" s="147"/>
      <c r="AF790" s="147"/>
      <c r="AG790" s="147"/>
      <c r="AH790" s="147"/>
      <c r="AI790" s="147"/>
      <c r="AJ790" s="147"/>
      <c r="AK790" s="147"/>
      <c r="AL790" s="147"/>
      <c r="AM790" s="147"/>
      <c r="AN790" s="147"/>
      <c r="AO790" s="147"/>
      <c r="AP790" s="147"/>
      <c r="AQ790" s="147"/>
      <c r="AR790" s="147"/>
      <c r="AS790" s="147"/>
      <c r="AT790" s="147"/>
      <c r="AU790" s="147"/>
      <c r="AV790" s="147"/>
      <c r="AW790" s="147"/>
      <c r="AX790" s="147"/>
      <c r="AY790" s="147"/>
      <c r="AZ790" s="147"/>
      <c r="BA790" s="147"/>
      <c r="BB790" s="147"/>
      <c r="BC790" s="147"/>
      <c r="BD790" s="147"/>
      <c r="BE790" s="147"/>
      <c r="BF790" s="147"/>
      <c r="BG790" s="147"/>
      <c r="BH790" s="147"/>
      <c r="BI790" s="147"/>
      <c r="BJ790" s="147"/>
      <c r="BK790" s="147"/>
      <c r="BL790" s="147"/>
      <c r="BM790" s="147"/>
      <c r="BN790" s="147"/>
      <c r="BO790" s="147"/>
      <c r="BP790" s="147"/>
      <c r="BQ790" s="147"/>
      <c r="BR790" s="147"/>
      <c r="BS790" s="147"/>
      <c r="BT790" s="147"/>
      <c r="BU790" s="147"/>
      <c r="BV790" s="147"/>
      <c r="BW790" s="147"/>
      <c r="BX790" s="147"/>
      <c r="BY790" s="147"/>
      <c r="BZ790" s="147"/>
      <c r="CA790" s="147"/>
      <c r="CB790" s="147"/>
      <c r="CC790" s="147"/>
      <c r="CD790" s="147"/>
      <c r="CE790" s="147"/>
      <c r="CF790" s="147"/>
      <c r="CG790" s="147"/>
      <c r="CH790" s="147"/>
      <c r="CI790" s="147"/>
      <c r="CJ790" s="147"/>
      <c r="CK790" s="147"/>
    </row>
    <row r="791" spans="1:89">
      <c r="A791" s="147"/>
      <c r="B791" s="147"/>
      <c r="C791" s="147"/>
      <c r="D791" s="147"/>
      <c r="E791" s="147"/>
      <c r="F791" s="147"/>
      <c r="G791" s="147"/>
      <c r="H791" s="147"/>
      <c r="I791" s="147"/>
      <c r="J791" s="147"/>
      <c r="K791" s="147"/>
      <c r="L791" s="147"/>
      <c r="M791" s="147"/>
      <c r="N791" s="147"/>
      <c r="O791" s="158"/>
      <c r="P791" s="147"/>
      <c r="Q791" s="147"/>
      <c r="R791" s="147"/>
      <c r="S791" s="147"/>
      <c r="T791" s="147"/>
      <c r="U791" s="147"/>
      <c r="V791" s="147"/>
      <c r="W791" s="147"/>
      <c r="X791" s="147"/>
      <c r="Y791" s="147"/>
      <c r="Z791" s="147"/>
      <c r="AA791" s="147"/>
      <c r="AB791" s="147"/>
      <c r="AC791" s="147"/>
      <c r="AD791" s="147"/>
      <c r="AE791" s="147"/>
      <c r="AF791" s="147"/>
      <c r="AG791" s="147"/>
      <c r="AH791" s="147"/>
      <c r="AI791" s="147"/>
      <c r="AJ791" s="147"/>
      <c r="AK791" s="147"/>
      <c r="AL791" s="147"/>
      <c r="AM791" s="147"/>
      <c r="AN791" s="147"/>
      <c r="AO791" s="147"/>
      <c r="AP791" s="147"/>
      <c r="AQ791" s="147"/>
      <c r="AR791" s="147"/>
      <c r="AS791" s="147"/>
      <c r="AT791" s="147"/>
      <c r="AU791" s="147"/>
      <c r="AV791" s="147"/>
      <c r="AW791" s="147"/>
      <c r="AX791" s="147"/>
      <c r="AY791" s="147"/>
      <c r="AZ791" s="147"/>
      <c r="BA791" s="147"/>
      <c r="BB791" s="147"/>
      <c r="BC791" s="147"/>
      <c r="BD791" s="147"/>
      <c r="BE791" s="147"/>
      <c r="BF791" s="147"/>
      <c r="BG791" s="147"/>
      <c r="BH791" s="147"/>
      <c r="BI791" s="147"/>
      <c r="BJ791" s="147"/>
      <c r="BK791" s="147"/>
      <c r="BL791" s="147"/>
      <c r="BM791" s="147"/>
      <c r="BN791" s="147"/>
      <c r="BO791" s="147"/>
      <c r="BP791" s="147"/>
      <c r="BQ791" s="147"/>
      <c r="BR791" s="147"/>
      <c r="BS791" s="147"/>
      <c r="BT791" s="147"/>
      <c r="BU791" s="147"/>
      <c r="BV791" s="147"/>
      <c r="BW791" s="147"/>
      <c r="BX791" s="147"/>
      <c r="BY791" s="147"/>
      <c r="BZ791" s="147"/>
      <c r="CA791" s="147"/>
      <c r="CB791" s="147"/>
      <c r="CC791" s="147"/>
      <c r="CD791" s="147"/>
      <c r="CE791" s="147"/>
      <c r="CF791" s="147"/>
      <c r="CG791" s="147"/>
      <c r="CH791" s="147"/>
      <c r="CI791" s="147"/>
      <c r="CJ791" s="147"/>
      <c r="CK791" s="147"/>
    </row>
    <row r="792" spans="1:89">
      <c r="A792" s="147"/>
      <c r="B792" s="147"/>
      <c r="C792" s="147"/>
      <c r="D792" s="147"/>
      <c r="E792" s="147"/>
      <c r="F792" s="147"/>
      <c r="G792" s="147"/>
      <c r="H792" s="147"/>
      <c r="I792" s="147"/>
      <c r="J792" s="147"/>
      <c r="K792" s="147"/>
      <c r="L792" s="147"/>
      <c r="M792" s="147"/>
      <c r="N792" s="147"/>
      <c r="O792" s="158"/>
      <c r="P792" s="147"/>
      <c r="Q792" s="147"/>
      <c r="R792" s="147"/>
      <c r="S792" s="147"/>
      <c r="T792" s="147"/>
      <c r="U792" s="147"/>
      <c r="V792" s="147"/>
      <c r="W792" s="147"/>
      <c r="X792" s="147"/>
      <c r="Y792" s="147"/>
      <c r="Z792" s="147"/>
      <c r="AA792" s="147"/>
      <c r="AB792" s="147"/>
      <c r="AC792" s="147"/>
      <c r="AD792" s="147"/>
      <c r="AE792" s="147"/>
      <c r="AF792" s="147"/>
      <c r="AG792" s="147"/>
      <c r="AH792" s="147"/>
      <c r="AI792" s="147"/>
      <c r="AJ792" s="147"/>
      <c r="AK792" s="147"/>
      <c r="AL792" s="147"/>
      <c r="AM792" s="147"/>
      <c r="AN792" s="147"/>
      <c r="AO792" s="147"/>
      <c r="AP792" s="147"/>
      <c r="AQ792" s="147"/>
      <c r="AR792" s="147"/>
      <c r="AS792" s="147"/>
      <c r="AT792" s="147"/>
      <c r="AU792" s="147"/>
      <c r="AV792" s="147"/>
      <c r="AW792" s="147"/>
      <c r="AX792" s="147"/>
      <c r="AY792" s="147"/>
      <c r="AZ792" s="147"/>
      <c r="BA792" s="147"/>
      <c r="BB792" s="147"/>
      <c r="BC792" s="147"/>
      <c r="BD792" s="147"/>
      <c r="BE792" s="147"/>
      <c r="BF792" s="147"/>
      <c r="BG792" s="147"/>
      <c r="BH792" s="147"/>
      <c r="BI792" s="147"/>
      <c r="BJ792" s="147"/>
      <c r="BK792" s="147"/>
      <c r="BL792" s="147"/>
      <c r="BM792" s="147"/>
      <c r="BN792" s="147"/>
      <c r="BO792" s="147"/>
      <c r="BP792" s="147"/>
      <c r="BQ792" s="147"/>
      <c r="BR792" s="147"/>
      <c r="BS792" s="147"/>
      <c r="BT792" s="147"/>
      <c r="BU792" s="147"/>
      <c r="BV792" s="147"/>
      <c r="BW792" s="147"/>
      <c r="BX792" s="147"/>
      <c r="BY792" s="147"/>
      <c r="BZ792" s="147"/>
      <c r="CA792" s="147"/>
      <c r="CB792" s="147"/>
      <c r="CC792" s="147"/>
      <c r="CD792" s="147"/>
      <c r="CE792" s="147"/>
      <c r="CF792" s="147"/>
      <c r="CG792" s="147"/>
      <c r="CH792" s="147"/>
      <c r="CI792" s="147"/>
      <c r="CJ792" s="147"/>
      <c r="CK792" s="147"/>
    </row>
    <row r="793" spans="1:89">
      <c r="A793" s="147"/>
      <c r="B793" s="147"/>
      <c r="C793" s="147"/>
      <c r="D793" s="147"/>
      <c r="E793" s="147"/>
      <c r="F793" s="147"/>
      <c r="G793" s="147"/>
      <c r="H793" s="147"/>
      <c r="I793" s="147"/>
      <c r="J793" s="147"/>
      <c r="K793" s="147"/>
      <c r="L793" s="147"/>
      <c r="M793" s="147"/>
      <c r="N793" s="147"/>
      <c r="O793" s="158"/>
      <c r="P793" s="147"/>
      <c r="Q793" s="147"/>
      <c r="R793" s="147"/>
      <c r="S793" s="147"/>
      <c r="T793" s="147"/>
      <c r="U793" s="147"/>
      <c r="V793" s="147"/>
      <c r="W793" s="147"/>
      <c r="X793" s="147"/>
      <c r="Y793" s="147"/>
      <c r="Z793" s="147"/>
      <c r="AA793" s="147"/>
      <c r="AB793" s="147"/>
      <c r="AC793" s="147"/>
      <c r="AD793" s="147"/>
      <c r="AE793" s="147"/>
      <c r="AF793" s="147"/>
      <c r="AG793" s="147"/>
      <c r="AH793" s="147"/>
      <c r="AI793" s="147"/>
      <c r="AJ793" s="147"/>
      <c r="AK793" s="147"/>
      <c r="AL793" s="147"/>
      <c r="AM793" s="147"/>
      <c r="AN793" s="147"/>
      <c r="AO793" s="147"/>
      <c r="AP793" s="147"/>
      <c r="AQ793" s="147"/>
      <c r="AR793" s="147"/>
      <c r="AS793" s="147"/>
      <c r="AT793" s="147"/>
      <c r="AU793" s="147"/>
      <c r="AV793" s="147"/>
      <c r="AW793" s="147"/>
      <c r="AX793" s="147"/>
      <c r="AY793" s="147"/>
      <c r="AZ793" s="147"/>
      <c r="BA793" s="147"/>
      <c r="BB793" s="147"/>
      <c r="BC793" s="147"/>
      <c r="BD793" s="147"/>
      <c r="BE793" s="147"/>
      <c r="BF793" s="147"/>
      <c r="BG793" s="147"/>
      <c r="BH793" s="147"/>
      <c r="BI793" s="147"/>
      <c r="BJ793" s="147"/>
      <c r="BK793" s="147"/>
      <c r="BL793" s="147"/>
      <c r="BM793" s="147"/>
      <c r="BN793" s="147"/>
      <c r="BO793" s="147"/>
      <c r="BP793" s="147"/>
      <c r="BQ793" s="147"/>
      <c r="BR793" s="147"/>
      <c r="BS793" s="147"/>
      <c r="BT793" s="147"/>
      <c r="BU793" s="147"/>
      <c r="BV793" s="147"/>
      <c r="BW793" s="147"/>
      <c r="BX793" s="147"/>
      <c r="BY793" s="147"/>
      <c r="BZ793" s="147"/>
      <c r="CA793" s="147"/>
      <c r="CB793" s="147"/>
      <c r="CC793" s="147"/>
      <c r="CD793" s="147"/>
      <c r="CE793" s="147"/>
      <c r="CF793" s="147"/>
      <c r="CG793" s="147"/>
      <c r="CH793" s="147"/>
      <c r="CI793" s="147"/>
      <c r="CJ793" s="147"/>
      <c r="CK793" s="147"/>
    </row>
    <row r="794" spans="1:89">
      <c r="A794" s="147"/>
      <c r="B794" s="147"/>
      <c r="C794" s="147"/>
      <c r="D794" s="147"/>
      <c r="E794" s="147"/>
      <c r="F794" s="147"/>
      <c r="G794" s="147"/>
      <c r="H794" s="147"/>
      <c r="I794" s="147"/>
      <c r="J794" s="147"/>
      <c r="K794" s="147"/>
      <c r="L794" s="147"/>
      <c r="M794" s="147"/>
      <c r="N794" s="147"/>
      <c r="O794" s="158"/>
      <c r="P794" s="147"/>
      <c r="Q794" s="147"/>
      <c r="R794" s="147"/>
      <c r="S794" s="147"/>
      <c r="T794" s="147"/>
      <c r="U794" s="147"/>
      <c r="V794" s="147"/>
      <c r="W794" s="147"/>
      <c r="X794" s="147"/>
      <c r="Y794" s="147"/>
      <c r="Z794" s="147"/>
      <c r="AA794" s="147"/>
      <c r="AB794" s="147"/>
      <c r="AC794" s="147"/>
      <c r="AD794" s="147"/>
      <c r="AE794" s="147"/>
      <c r="AF794" s="147"/>
      <c r="AG794" s="147"/>
      <c r="AH794" s="147"/>
      <c r="AI794" s="147"/>
      <c r="AJ794" s="147"/>
      <c r="AK794" s="147"/>
      <c r="AL794" s="147"/>
      <c r="AM794" s="147"/>
      <c r="AN794" s="147"/>
      <c r="AO794" s="147"/>
      <c r="AP794" s="147"/>
      <c r="AQ794" s="147"/>
      <c r="AR794" s="147"/>
      <c r="AS794" s="147"/>
      <c r="AT794" s="147"/>
      <c r="AU794" s="147"/>
      <c r="AV794" s="147"/>
      <c r="AW794" s="147"/>
      <c r="AX794" s="147"/>
      <c r="AY794" s="147"/>
      <c r="AZ794" s="147"/>
      <c r="BA794" s="147"/>
      <c r="BB794" s="147"/>
      <c r="BC794" s="147"/>
      <c r="BD794" s="147"/>
      <c r="BE794" s="147"/>
      <c r="BF794" s="147"/>
      <c r="BG794" s="147"/>
      <c r="BH794" s="147"/>
      <c r="BI794" s="147"/>
      <c r="BJ794" s="147"/>
      <c r="BK794" s="147"/>
      <c r="BL794" s="147"/>
      <c r="BM794" s="147"/>
      <c r="BN794" s="147"/>
      <c r="BO794" s="147"/>
      <c r="BP794" s="147"/>
      <c r="BQ794" s="147"/>
      <c r="BR794" s="147"/>
      <c r="BS794" s="147"/>
      <c r="BT794" s="147"/>
      <c r="BU794" s="147"/>
      <c r="BV794" s="147"/>
      <c r="BW794" s="147"/>
      <c r="BX794" s="147"/>
      <c r="BY794" s="147"/>
      <c r="BZ794" s="147"/>
      <c r="CA794" s="147"/>
      <c r="CB794" s="147"/>
      <c r="CC794" s="147"/>
      <c r="CD794" s="147"/>
      <c r="CE794" s="147"/>
      <c r="CF794" s="147"/>
      <c r="CG794" s="147"/>
      <c r="CH794" s="147"/>
      <c r="CI794" s="147"/>
      <c r="CJ794" s="147"/>
      <c r="CK794" s="147"/>
    </row>
    <row r="795" spans="1:89">
      <c r="A795" s="147"/>
      <c r="B795" s="147"/>
      <c r="C795" s="147"/>
      <c r="D795" s="147"/>
      <c r="E795" s="147"/>
      <c r="F795" s="147"/>
      <c r="G795" s="147"/>
      <c r="H795" s="147"/>
      <c r="I795" s="147"/>
      <c r="J795" s="147"/>
      <c r="K795" s="147"/>
      <c r="L795" s="147"/>
      <c r="M795" s="147"/>
      <c r="N795" s="147"/>
      <c r="O795" s="158"/>
      <c r="P795" s="147"/>
      <c r="Q795" s="147"/>
      <c r="R795" s="147"/>
      <c r="S795" s="147"/>
      <c r="T795" s="147"/>
      <c r="U795" s="147"/>
      <c r="V795" s="147"/>
      <c r="W795" s="147"/>
      <c r="X795" s="147"/>
      <c r="Y795" s="147"/>
      <c r="Z795" s="147"/>
      <c r="AA795" s="147"/>
      <c r="AB795" s="147"/>
      <c r="AC795" s="147"/>
      <c r="AD795" s="147"/>
      <c r="AE795" s="147"/>
      <c r="AF795" s="147"/>
      <c r="AG795" s="147"/>
      <c r="AH795" s="147"/>
      <c r="AI795" s="147"/>
      <c r="AJ795" s="147"/>
      <c r="AK795" s="147"/>
      <c r="AL795" s="147"/>
      <c r="AM795" s="147"/>
      <c r="AN795" s="147"/>
      <c r="AO795" s="147"/>
      <c r="AP795" s="147"/>
      <c r="AQ795" s="147"/>
      <c r="AR795" s="147"/>
      <c r="AS795" s="147"/>
      <c r="AT795" s="147"/>
      <c r="AU795" s="147"/>
      <c r="AV795" s="147"/>
      <c r="AW795" s="147"/>
      <c r="AX795" s="147"/>
      <c r="AY795" s="147"/>
      <c r="AZ795" s="147"/>
      <c r="BA795" s="147"/>
      <c r="BB795" s="147"/>
      <c r="BC795" s="147"/>
      <c r="BD795" s="147"/>
      <c r="BE795" s="147"/>
      <c r="BF795" s="147"/>
      <c r="BG795" s="147"/>
      <c r="BH795" s="147"/>
      <c r="BI795" s="147"/>
      <c r="BJ795" s="147"/>
      <c r="BK795" s="147"/>
      <c r="BL795" s="147"/>
      <c r="BM795" s="147"/>
      <c r="BN795" s="147"/>
      <c r="BO795" s="147"/>
      <c r="BP795" s="147"/>
      <c r="BQ795" s="147"/>
      <c r="BR795" s="147"/>
      <c r="BS795" s="147"/>
      <c r="BT795" s="147"/>
      <c r="BU795" s="147"/>
      <c r="BV795" s="147"/>
      <c r="BW795" s="147"/>
      <c r="BX795" s="147"/>
      <c r="BY795" s="147"/>
      <c r="BZ795" s="147"/>
      <c r="CA795" s="147"/>
      <c r="CB795" s="147"/>
      <c r="CC795" s="147"/>
      <c r="CD795" s="147"/>
      <c r="CE795" s="147"/>
      <c r="CF795" s="147"/>
      <c r="CG795" s="147"/>
      <c r="CH795" s="147"/>
      <c r="CI795" s="147"/>
      <c r="CJ795" s="147"/>
      <c r="CK795" s="147"/>
    </row>
    <row r="796" spans="1:89">
      <c r="A796" s="147"/>
      <c r="B796" s="147"/>
      <c r="C796" s="147"/>
      <c r="D796" s="147"/>
      <c r="E796" s="147"/>
      <c r="F796" s="147"/>
      <c r="G796" s="147"/>
      <c r="H796" s="147"/>
      <c r="I796" s="147"/>
      <c r="J796" s="147"/>
      <c r="K796" s="147"/>
      <c r="L796" s="147"/>
      <c r="M796" s="147"/>
      <c r="N796" s="147"/>
      <c r="O796" s="158"/>
      <c r="P796" s="147"/>
      <c r="Q796" s="147"/>
      <c r="R796" s="147"/>
      <c r="S796" s="147"/>
      <c r="T796" s="147"/>
      <c r="U796" s="147"/>
      <c r="V796" s="147"/>
      <c r="W796" s="147"/>
      <c r="X796" s="147"/>
      <c r="Y796" s="147"/>
      <c r="Z796" s="147"/>
      <c r="AA796" s="147"/>
      <c r="AB796" s="147"/>
      <c r="AC796" s="147"/>
      <c r="AD796" s="147"/>
      <c r="AE796" s="147"/>
      <c r="AF796" s="147"/>
      <c r="AG796" s="147"/>
      <c r="AH796" s="147"/>
      <c r="AI796" s="147"/>
      <c r="AJ796" s="147"/>
      <c r="AK796" s="147"/>
      <c r="AL796" s="147"/>
      <c r="AM796" s="147"/>
      <c r="AN796" s="147"/>
      <c r="AO796" s="147"/>
      <c r="AP796" s="147"/>
      <c r="AQ796" s="147"/>
      <c r="AR796" s="147"/>
      <c r="AS796" s="147"/>
      <c r="AT796" s="147"/>
      <c r="AU796" s="147"/>
      <c r="AV796" s="147"/>
      <c r="AW796" s="147"/>
      <c r="AX796" s="147"/>
      <c r="AY796" s="147"/>
      <c r="AZ796" s="147"/>
      <c r="BA796" s="147"/>
      <c r="BB796" s="147"/>
      <c r="BC796" s="147"/>
      <c r="BD796" s="147"/>
      <c r="BE796" s="147"/>
      <c r="BF796" s="147"/>
      <c r="BG796" s="147"/>
      <c r="BH796" s="147"/>
      <c r="BI796" s="147"/>
      <c r="BJ796" s="147"/>
      <c r="BK796" s="147"/>
      <c r="BL796" s="147"/>
      <c r="BM796" s="147"/>
      <c r="BN796" s="147"/>
      <c r="BO796" s="147"/>
      <c r="BP796" s="147"/>
      <c r="BQ796" s="147"/>
      <c r="BR796" s="147"/>
      <c r="BS796" s="147"/>
      <c r="BT796" s="147"/>
      <c r="BU796" s="147"/>
      <c r="BV796" s="147"/>
      <c r="BW796" s="147"/>
      <c r="BX796" s="147"/>
      <c r="BY796" s="147"/>
      <c r="BZ796" s="147"/>
      <c r="CA796" s="147"/>
      <c r="CB796" s="147"/>
      <c r="CC796" s="147"/>
      <c r="CD796" s="147"/>
      <c r="CE796" s="147"/>
      <c r="CF796" s="147"/>
      <c r="CG796" s="147"/>
      <c r="CH796" s="147"/>
      <c r="CI796" s="147"/>
      <c r="CJ796" s="147"/>
      <c r="CK796" s="147"/>
    </row>
    <row r="797" spans="1:89">
      <c r="A797" s="147"/>
      <c r="B797" s="147"/>
      <c r="C797" s="147"/>
      <c r="D797" s="147"/>
      <c r="E797" s="147"/>
      <c r="F797" s="147"/>
      <c r="G797" s="147"/>
      <c r="H797" s="147"/>
      <c r="I797" s="147"/>
      <c r="J797" s="147"/>
      <c r="K797" s="147"/>
      <c r="L797" s="147"/>
      <c r="M797" s="147"/>
      <c r="N797" s="147"/>
      <c r="O797" s="158"/>
      <c r="P797" s="147"/>
      <c r="Q797" s="147"/>
      <c r="R797" s="147"/>
      <c r="S797" s="147"/>
      <c r="T797" s="147"/>
      <c r="U797" s="147"/>
      <c r="V797" s="147"/>
      <c r="W797" s="147"/>
      <c r="X797" s="147"/>
      <c r="Y797" s="147"/>
      <c r="Z797" s="147"/>
      <c r="AA797" s="147"/>
      <c r="AB797" s="147"/>
      <c r="AC797" s="147"/>
      <c r="AD797" s="147"/>
      <c r="AE797" s="147"/>
      <c r="AF797" s="147"/>
      <c r="AG797" s="147"/>
      <c r="AH797" s="147"/>
      <c r="AI797" s="147"/>
      <c r="AJ797" s="147"/>
      <c r="AK797" s="147"/>
      <c r="AL797" s="147"/>
      <c r="AM797" s="147"/>
      <c r="AN797" s="147"/>
      <c r="AO797" s="147"/>
      <c r="AP797" s="147"/>
      <c r="AQ797" s="147"/>
      <c r="AR797" s="147"/>
      <c r="AS797" s="147"/>
      <c r="AT797" s="147"/>
      <c r="AU797" s="147"/>
      <c r="AV797" s="147"/>
      <c r="AW797" s="147"/>
      <c r="AX797" s="147"/>
      <c r="AY797" s="147"/>
      <c r="AZ797" s="147"/>
      <c r="BA797" s="147"/>
      <c r="BB797" s="147"/>
      <c r="BC797" s="147"/>
      <c r="BD797" s="147"/>
      <c r="BE797" s="147"/>
      <c r="BF797" s="147"/>
      <c r="BG797" s="147"/>
      <c r="BH797" s="147"/>
      <c r="BI797" s="147"/>
      <c r="BJ797" s="147"/>
      <c r="BK797" s="147"/>
      <c r="BL797" s="147"/>
      <c r="BM797" s="147"/>
      <c r="BN797" s="147"/>
      <c r="BO797" s="147"/>
      <c r="BP797" s="147"/>
      <c r="BQ797" s="147"/>
      <c r="BR797" s="147"/>
      <c r="BS797" s="147"/>
      <c r="BT797" s="147"/>
      <c r="BU797" s="147"/>
      <c r="BV797" s="147"/>
      <c r="BW797" s="147"/>
      <c r="BX797" s="147"/>
      <c r="BY797" s="147"/>
      <c r="BZ797" s="147"/>
      <c r="CA797" s="147"/>
      <c r="CB797" s="147"/>
      <c r="CC797" s="147"/>
      <c r="CD797" s="147"/>
      <c r="CE797" s="147"/>
      <c r="CF797" s="147"/>
      <c r="CG797" s="147"/>
      <c r="CH797" s="147"/>
      <c r="CI797" s="147"/>
      <c r="CJ797" s="147"/>
      <c r="CK797" s="147"/>
    </row>
    <row r="798" spans="1:89">
      <c r="A798" s="147"/>
      <c r="B798" s="147"/>
      <c r="C798" s="147"/>
      <c r="D798" s="147"/>
      <c r="E798" s="147"/>
      <c r="F798" s="147"/>
      <c r="G798" s="147"/>
      <c r="H798" s="147"/>
      <c r="I798" s="147"/>
      <c r="J798" s="147"/>
      <c r="K798" s="147"/>
      <c r="L798" s="147"/>
      <c r="M798" s="147"/>
      <c r="N798" s="147"/>
      <c r="O798" s="158"/>
      <c r="P798" s="147"/>
      <c r="Q798" s="147"/>
      <c r="R798" s="147"/>
      <c r="S798" s="147"/>
      <c r="T798" s="147"/>
      <c r="U798" s="147"/>
      <c r="V798" s="147"/>
      <c r="W798" s="147"/>
      <c r="X798" s="147"/>
      <c r="Y798" s="147"/>
      <c r="Z798" s="147"/>
      <c r="AA798" s="147"/>
      <c r="AB798" s="147"/>
      <c r="AC798" s="147"/>
      <c r="AD798" s="147"/>
      <c r="AE798" s="147"/>
      <c r="AF798" s="147"/>
      <c r="AG798" s="147"/>
      <c r="AH798" s="147"/>
      <c r="AI798" s="147"/>
      <c r="AJ798" s="147"/>
      <c r="AK798" s="147"/>
      <c r="AL798" s="147"/>
      <c r="AM798" s="147"/>
      <c r="AN798" s="147"/>
      <c r="AO798" s="147"/>
      <c r="AP798" s="147"/>
      <c r="AQ798" s="147"/>
      <c r="AR798" s="147"/>
      <c r="AS798" s="147"/>
      <c r="AT798" s="147"/>
      <c r="AU798" s="147"/>
      <c r="AV798" s="147"/>
      <c r="AW798" s="147"/>
      <c r="AX798" s="147"/>
      <c r="AY798" s="147"/>
      <c r="AZ798" s="147"/>
      <c r="BA798" s="147"/>
      <c r="BB798" s="147"/>
      <c r="BC798" s="147"/>
      <c r="BD798" s="147"/>
      <c r="BE798" s="147"/>
      <c r="BF798" s="147"/>
      <c r="BG798" s="147"/>
      <c r="BH798" s="147"/>
      <c r="BI798" s="147"/>
      <c r="BJ798" s="147"/>
      <c r="BK798" s="147"/>
      <c r="BL798" s="147"/>
      <c r="BM798" s="147"/>
      <c r="BN798" s="147"/>
      <c r="BO798" s="147"/>
      <c r="BP798" s="147"/>
      <c r="BQ798" s="147"/>
      <c r="BR798" s="147"/>
      <c r="BS798" s="147"/>
      <c r="BT798" s="147"/>
      <c r="BU798" s="147"/>
      <c r="BV798" s="147"/>
      <c r="BW798" s="147"/>
      <c r="BX798" s="147"/>
      <c r="BY798" s="147"/>
      <c r="BZ798" s="147"/>
      <c r="CA798" s="147"/>
      <c r="CB798" s="147"/>
      <c r="CC798" s="147"/>
      <c r="CD798" s="147"/>
      <c r="CE798" s="147"/>
      <c r="CF798" s="147"/>
      <c r="CG798" s="147"/>
      <c r="CH798" s="147"/>
      <c r="CI798" s="147"/>
      <c r="CJ798" s="147"/>
      <c r="CK798" s="147"/>
    </row>
    <row r="799" spans="1:89">
      <c r="A799" s="147"/>
      <c r="B799" s="147"/>
      <c r="C799" s="147"/>
      <c r="D799" s="147"/>
      <c r="E799" s="147"/>
      <c r="F799" s="147"/>
      <c r="G799" s="147"/>
      <c r="H799" s="147"/>
      <c r="I799" s="147"/>
      <c r="J799" s="147"/>
      <c r="K799" s="147"/>
      <c r="L799" s="147"/>
      <c r="M799" s="147"/>
      <c r="N799" s="147"/>
      <c r="O799" s="158"/>
      <c r="P799" s="147"/>
      <c r="Q799" s="147"/>
      <c r="R799" s="147"/>
      <c r="S799" s="147"/>
      <c r="T799" s="147"/>
      <c r="U799" s="147"/>
      <c r="V799" s="147"/>
      <c r="W799" s="147"/>
      <c r="X799" s="147"/>
      <c r="Y799" s="147"/>
      <c r="Z799" s="147"/>
      <c r="AA799" s="147"/>
      <c r="AB799" s="147"/>
      <c r="AC799" s="147"/>
      <c r="AD799" s="147"/>
      <c r="AE799" s="147"/>
      <c r="AF799" s="147"/>
      <c r="AG799" s="147"/>
      <c r="AH799" s="147"/>
      <c r="AI799" s="147"/>
      <c r="AJ799" s="147"/>
      <c r="AK799" s="147"/>
      <c r="AL799" s="147"/>
      <c r="AM799" s="147"/>
      <c r="AN799" s="147"/>
      <c r="AO799" s="147"/>
      <c r="AP799" s="147"/>
      <c r="AQ799" s="147"/>
      <c r="AR799" s="147"/>
      <c r="AS799" s="147"/>
      <c r="AT799" s="147"/>
      <c r="AU799" s="147"/>
      <c r="AV799" s="147"/>
      <c r="AW799" s="147"/>
      <c r="AX799" s="147"/>
      <c r="AY799" s="147"/>
      <c r="AZ799" s="147"/>
      <c r="BA799" s="147"/>
      <c r="BB799" s="147"/>
      <c r="BC799" s="147"/>
      <c r="BD799" s="147"/>
      <c r="BE799" s="147"/>
      <c r="BF799" s="147"/>
      <c r="BG799" s="147"/>
      <c r="BH799" s="147"/>
      <c r="BI799" s="147"/>
      <c r="BJ799" s="147"/>
      <c r="BK799" s="147"/>
      <c r="BL799" s="147"/>
      <c r="BM799" s="147"/>
      <c r="BN799" s="147"/>
      <c r="BO799" s="147"/>
      <c r="BP799" s="147"/>
      <c r="BQ799" s="147"/>
      <c r="BR799" s="147"/>
      <c r="BS799" s="147"/>
      <c r="BT799" s="147"/>
      <c r="BU799" s="147"/>
      <c r="BV799" s="147"/>
      <c r="BW799" s="147"/>
      <c r="BX799" s="147"/>
      <c r="BY799" s="147"/>
      <c r="BZ799" s="147"/>
      <c r="CA799" s="147"/>
      <c r="CB799" s="147"/>
      <c r="CC799" s="147"/>
      <c r="CD799" s="147"/>
      <c r="CE799" s="147"/>
      <c r="CF799" s="147"/>
      <c r="CG799" s="147"/>
      <c r="CH799" s="147"/>
      <c r="CI799" s="147"/>
      <c r="CJ799" s="147"/>
      <c r="CK799" s="147"/>
    </row>
    <row r="800" spans="1:89">
      <c r="A800" s="147"/>
      <c r="B800" s="147"/>
      <c r="C800" s="147"/>
      <c r="D800" s="147"/>
      <c r="E800" s="147"/>
      <c r="F800" s="147"/>
      <c r="G800" s="147"/>
      <c r="H800" s="147"/>
      <c r="I800" s="147"/>
      <c r="J800" s="147"/>
      <c r="K800" s="147"/>
      <c r="L800" s="147"/>
      <c r="M800" s="147"/>
      <c r="N800" s="147"/>
      <c r="O800" s="158"/>
      <c r="P800" s="147"/>
      <c r="Q800" s="147"/>
      <c r="R800" s="147"/>
      <c r="S800" s="147"/>
      <c r="T800" s="147"/>
      <c r="U800" s="147"/>
      <c r="V800" s="147"/>
      <c r="W800" s="147"/>
      <c r="X800" s="147"/>
      <c r="Y800" s="147"/>
      <c r="Z800" s="147"/>
      <c r="AA800" s="147"/>
      <c r="AB800" s="147"/>
      <c r="AC800" s="147"/>
      <c r="AD800" s="147"/>
      <c r="AE800" s="147"/>
      <c r="AF800" s="147"/>
      <c r="AG800" s="147"/>
      <c r="AH800" s="147"/>
      <c r="AI800" s="147"/>
      <c r="AJ800" s="147"/>
      <c r="AK800" s="147"/>
      <c r="AL800" s="147"/>
      <c r="AM800" s="147"/>
      <c r="AN800" s="147"/>
      <c r="AO800" s="147"/>
      <c r="AP800" s="147"/>
      <c r="AQ800" s="147"/>
      <c r="AR800" s="147"/>
      <c r="AS800" s="147"/>
      <c r="AT800" s="147"/>
      <c r="AU800" s="147"/>
      <c r="AV800" s="147"/>
      <c r="AW800" s="147"/>
      <c r="AX800" s="147"/>
      <c r="AY800" s="147"/>
      <c r="AZ800" s="147"/>
      <c r="BA800" s="147"/>
      <c r="BB800" s="147"/>
      <c r="BC800" s="147"/>
      <c r="BD800" s="147"/>
      <c r="BE800" s="147"/>
      <c r="BF800" s="147"/>
      <c r="BG800" s="147"/>
      <c r="BH800" s="147"/>
      <c r="BI800" s="147"/>
      <c r="BJ800" s="147"/>
      <c r="BK800" s="147"/>
      <c r="BL800" s="147"/>
      <c r="BM800" s="147"/>
      <c r="BN800" s="147"/>
      <c r="BO800" s="147"/>
      <c r="BP800" s="147"/>
      <c r="BQ800" s="147"/>
      <c r="BR800" s="147"/>
      <c r="BS800" s="147"/>
      <c r="BT800" s="147"/>
      <c r="BU800" s="147"/>
      <c r="BV800" s="147"/>
      <c r="BW800" s="147"/>
      <c r="BX800" s="147"/>
      <c r="BY800" s="147"/>
      <c r="BZ800" s="147"/>
      <c r="CA800" s="147"/>
      <c r="CB800" s="147"/>
      <c r="CC800" s="147"/>
      <c r="CD800" s="147"/>
      <c r="CE800" s="147"/>
      <c r="CF800" s="147"/>
      <c r="CG800" s="147"/>
      <c r="CH800" s="147"/>
      <c r="CI800" s="147"/>
      <c r="CJ800" s="147"/>
      <c r="CK800" s="147"/>
    </row>
    <row r="801" spans="1:89">
      <c r="A801" s="147"/>
      <c r="B801" s="147"/>
      <c r="C801" s="147"/>
      <c r="D801" s="147"/>
      <c r="E801" s="147"/>
      <c r="F801" s="147"/>
      <c r="G801" s="147"/>
      <c r="H801" s="147"/>
      <c r="I801" s="147"/>
      <c r="J801" s="147"/>
      <c r="K801" s="147"/>
      <c r="L801" s="147"/>
      <c r="M801" s="147"/>
      <c r="N801" s="147"/>
      <c r="O801" s="158"/>
      <c r="P801" s="147"/>
      <c r="Q801" s="147"/>
      <c r="R801" s="147"/>
      <c r="S801" s="147"/>
      <c r="T801" s="147"/>
      <c r="U801" s="147"/>
      <c r="V801" s="147"/>
      <c r="W801" s="147"/>
      <c r="X801" s="147"/>
      <c r="Y801" s="147"/>
      <c r="Z801" s="147"/>
      <c r="AA801" s="147"/>
      <c r="AB801" s="147"/>
      <c r="AC801" s="147"/>
      <c r="AD801" s="147"/>
      <c r="AE801" s="147"/>
      <c r="AF801" s="147"/>
      <c r="AG801" s="147"/>
      <c r="AH801" s="147"/>
      <c r="AI801" s="147"/>
      <c r="AJ801" s="147"/>
      <c r="AK801" s="147"/>
      <c r="AL801" s="147"/>
      <c r="AM801" s="147"/>
      <c r="AN801" s="147"/>
      <c r="AO801" s="147"/>
      <c r="AP801" s="147"/>
      <c r="AQ801" s="147"/>
      <c r="AR801" s="147"/>
      <c r="AS801" s="147"/>
      <c r="AT801" s="147"/>
      <c r="AU801" s="147"/>
      <c r="AV801" s="147"/>
      <c r="AW801" s="147"/>
      <c r="AX801" s="147"/>
      <c r="AY801" s="147"/>
      <c r="AZ801" s="147"/>
      <c r="BA801" s="147"/>
      <c r="BB801" s="147"/>
      <c r="BC801" s="147"/>
      <c r="BD801" s="147"/>
      <c r="BE801" s="147"/>
      <c r="BF801" s="147"/>
      <c r="BG801" s="147"/>
      <c r="BH801" s="147"/>
      <c r="BI801" s="147"/>
      <c r="BJ801" s="147"/>
      <c r="BK801" s="147"/>
      <c r="BL801" s="147"/>
      <c r="BM801" s="147"/>
      <c r="BN801" s="147"/>
      <c r="BO801" s="147"/>
      <c r="BP801" s="147"/>
      <c r="BQ801" s="147"/>
      <c r="BR801" s="147"/>
      <c r="BS801" s="147"/>
      <c r="BT801" s="147"/>
      <c r="BU801" s="147"/>
      <c r="BV801" s="147"/>
      <c r="BW801" s="147"/>
      <c r="BX801" s="147"/>
      <c r="BY801" s="147"/>
      <c r="BZ801" s="147"/>
      <c r="CA801" s="147"/>
      <c r="CB801" s="147"/>
      <c r="CC801" s="147"/>
      <c r="CD801" s="147"/>
      <c r="CE801" s="147"/>
      <c r="CF801" s="147"/>
      <c r="CG801" s="147"/>
      <c r="CH801" s="147"/>
      <c r="CI801" s="147"/>
      <c r="CJ801" s="147"/>
      <c r="CK801" s="147"/>
    </row>
    <row r="802" spans="1:89">
      <c r="A802" s="147"/>
      <c r="B802" s="147"/>
      <c r="C802" s="147"/>
      <c r="D802" s="147"/>
      <c r="E802" s="147"/>
      <c r="F802" s="147"/>
      <c r="G802" s="147"/>
      <c r="H802" s="147"/>
      <c r="I802" s="147"/>
      <c r="J802" s="147"/>
      <c r="K802" s="147"/>
      <c r="L802" s="147"/>
      <c r="M802" s="147"/>
      <c r="N802" s="147"/>
      <c r="O802" s="158"/>
      <c r="P802" s="147"/>
      <c r="Q802" s="147"/>
      <c r="R802" s="147"/>
      <c r="S802" s="147"/>
      <c r="T802" s="147"/>
      <c r="U802" s="147"/>
      <c r="V802" s="147"/>
      <c r="W802" s="147"/>
      <c r="X802" s="147"/>
      <c r="Y802" s="147"/>
      <c r="Z802" s="147"/>
      <c r="AA802" s="147"/>
      <c r="AB802" s="147"/>
      <c r="AC802" s="147"/>
      <c r="AD802" s="147"/>
      <c r="AE802" s="147"/>
      <c r="AF802" s="147"/>
      <c r="AG802" s="147"/>
      <c r="AH802" s="147"/>
      <c r="AI802" s="147"/>
      <c r="AJ802" s="147"/>
      <c r="AK802" s="147"/>
      <c r="AL802" s="147"/>
      <c r="AM802" s="147"/>
      <c r="AN802" s="147"/>
      <c r="AO802" s="147"/>
      <c r="AP802" s="147"/>
      <c r="AQ802" s="147"/>
      <c r="AR802" s="147"/>
      <c r="AS802" s="147"/>
      <c r="AT802" s="147"/>
      <c r="AU802" s="147"/>
      <c r="AV802" s="147"/>
      <c r="AW802" s="147"/>
      <c r="AX802" s="147"/>
      <c r="AY802" s="147"/>
      <c r="AZ802" s="147"/>
      <c r="BA802" s="147"/>
      <c r="BB802" s="147"/>
      <c r="BC802" s="147"/>
      <c r="BD802" s="147"/>
      <c r="BE802" s="147"/>
      <c r="BF802" s="147"/>
      <c r="BG802" s="147"/>
      <c r="BH802" s="147"/>
      <c r="BI802" s="147"/>
      <c r="BJ802" s="147"/>
      <c r="BK802" s="147"/>
      <c r="BL802" s="147"/>
      <c r="BM802" s="147"/>
      <c r="BN802" s="147"/>
      <c r="BO802" s="147"/>
      <c r="BP802" s="147"/>
      <c r="BQ802" s="147"/>
      <c r="BR802" s="147"/>
      <c r="BS802" s="147"/>
      <c r="BT802" s="147"/>
      <c r="BU802" s="147"/>
      <c r="BV802" s="147"/>
      <c r="BW802" s="147"/>
      <c r="BX802" s="147"/>
      <c r="BY802" s="147"/>
      <c r="BZ802" s="147"/>
      <c r="CA802" s="147"/>
      <c r="CB802" s="147"/>
      <c r="CC802" s="147"/>
      <c r="CD802" s="147"/>
      <c r="CE802" s="147"/>
      <c r="CF802" s="147"/>
      <c r="CG802" s="147"/>
      <c r="CH802" s="147"/>
      <c r="CI802" s="147"/>
      <c r="CJ802" s="147"/>
      <c r="CK802" s="147"/>
    </row>
    <row r="803" spans="1:89">
      <c r="A803" s="147"/>
      <c r="B803" s="147"/>
      <c r="C803" s="147"/>
      <c r="D803" s="147"/>
      <c r="E803" s="147"/>
      <c r="F803" s="147"/>
      <c r="G803" s="147"/>
      <c r="H803" s="147"/>
      <c r="I803" s="147"/>
      <c r="J803" s="147"/>
      <c r="K803" s="147"/>
      <c r="L803" s="147"/>
      <c r="M803" s="147"/>
      <c r="N803" s="147"/>
      <c r="O803" s="158"/>
      <c r="P803" s="147"/>
      <c r="Q803" s="147"/>
      <c r="R803" s="147"/>
      <c r="S803" s="147"/>
      <c r="T803" s="147"/>
      <c r="U803" s="147"/>
      <c r="V803" s="147"/>
      <c r="W803" s="147"/>
      <c r="X803" s="147"/>
      <c r="Y803" s="147"/>
      <c r="Z803" s="147"/>
      <c r="AA803" s="147"/>
      <c r="AB803" s="147"/>
      <c r="AC803" s="147"/>
      <c r="AD803" s="147"/>
      <c r="AE803" s="147"/>
      <c r="AF803" s="147"/>
      <c r="AG803" s="147"/>
      <c r="AH803" s="147"/>
      <c r="AI803" s="147"/>
      <c r="AJ803" s="147"/>
      <c r="AK803" s="147"/>
      <c r="AL803" s="147"/>
      <c r="AM803" s="147"/>
      <c r="AN803" s="147"/>
      <c r="AO803" s="147"/>
      <c r="AP803" s="147"/>
      <c r="AQ803" s="147"/>
      <c r="AR803" s="147"/>
      <c r="AS803" s="147"/>
      <c r="AT803" s="147"/>
      <c r="AU803" s="147"/>
      <c r="AV803" s="147"/>
      <c r="AW803" s="147"/>
      <c r="AX803" s="147"/>
      <c r="AY803" s="147"/>
      <c r="AZ803" s="147"/>
      <c r="BA803" s="147"/>
      <c r="BB803" s="147"/>
      <c r="BC803" s="147"/>
      <c r="BD803" s="147"/>
      <c r="BE803" s="147"/>
      <c r="BF803" s="147"/>
      <c r="BG803" s="147"/>
      <c r="BH803" s="147"/>
      <c r="BI803" s="147"/>
      <c r="BJ803" s="147"/>
      <c r="BK803" s="147"/>
      <c r="BL803" s="147"/>
      <c r="BM803" s="147"/>
      <c r="BN803" s="147"/>
      <c r="BO803" s="147"/>
      <c r="BP803" s="147"/>
      <c r="BQ803" s="147"/>
      <c r="BR803" s="147"/>
      <c r="BS803" s="147"/>
      <c r="BT803" s="147"/>
      <c r="BU803" s="147"/>
      <c r="BV803" s="147"/>
      <c r="BW803" s="147"/>
      <c r="BX803" s="147"/>
      <c r="BY803" s="147"/>
      <c r="BZ803" s="147"/>
      <c r="CA803" s="147"/>
      <c r="CB803" s="147"/>
      <c r="CC803" s="147"/>
      <c r="CD803" s="147"/>
      <c r="CE803" s="147"/>
      <c r="CF803" s="147"/>
      <c r="CG803" s="147"/>
      <c r="CH803" s="147"/>
      <c r="CI803" s="147"/>
      <c r="CJ803" s="147"/>
      <c r="CK803" s="147"/>
    </row>
    <row r="804" spans="1:89">
      <c r="A804" s="147"/>
      <c r="B804" s="147"/>
      <c r="C804" s="147"/>
      <c r="D804" s="147"/>
      <c r="E804" s="147"/>
      <c r="F804" s="147"/>
      <c r="G804" s="147"/>
      <c r="H804" s="147"/>
      <c r="I804" s="147"/>
      <c r="J804" s="147"/>
      <c r="K804" s="147"/>
      <c r="L804" s="147"/>
      <c r="M804" s="147"/>
      <c r="N804" s="147"/>
      <c r="O804" s="158"/>
      <c r="P804" s="147"/>
      <c r="Q804" s="147"/>
      <c r="R804" s="147"/>
      <c r="S804" s="147"/>
      <c r="T804" s="147"/>
      <c r="U804" s="147"/>
      <c r="V804" s="147"/>
      <c r="W804" s="147"/>
      <c r="X804" s="147"/>
      <c r="Y804" s="147"/>
      <c r="Z804" s="147"/>
      <c r="AA804" s="147"/>
      <c r="AB804" s="147"/>
      <c r="AC804" s="147"/>
      <c r="AD804" s="147"/>
      <c r="AE804" s="147"/>
      <c r="AF804" s="147"/>
      <c r="AG804" s="147"/>
      <c r="AH804" s="147"/>
      <c r="AI804" s="147"/>
      <c r="AJ804" s="147"/>
      <c r="AK804" s="147"/>
      <c r="AL804" s="147"/>
      <c r="AM804" s="147"/>
      <c r="AN804" s="147"/>
      <c r="AO804" s="147"/>
      <c r="AP804" s="147"/>
      <c r="AQ804" s="147"/>
      <c r="AR804" s="147"/>
      <c r="AS804" s="147"/>
      <c r="AT804" s="147"/>
      <c r="AU804" s="147"/>
      <c r="AV804" s="147"/>
      <c r="AW804" s="147"/>
      <c r="AX804" s="147"/>
      <c r="AY804" s="147"/>
      <c r="AZ804" s="147"/>
      <c r="BA804" s="147"/>
      <c r="BB804" s="147"/>
      <c r="BC804" s="147"/>
      <c r="BD804" s="147"/>
      <c r="BE804" s="147"/>
      <c r="BF804" s="147"/>
      <c r="BG804" s="147"/>
      <c r="BH804" s="147"/>
      <c r="BI804" s="147"/>
      <c r="BJ804" s="147"/>
      <c r="BK804" s="147"/>
      <c r="BL804" s="147"/>
      <c r="BM804" s="147"/>
      <c r="BN804" s="147"/>
      <c r="BO804" s="147"/>
      <c r="BP804" s="147"/>
      <c r="BQ804" s="147"/>
      <c r="BR804" s="147"/>
      <c r="BS804" s="147"/>
      <c r="BT804" s="147"/>
      <c r="BU804" s="147"/>
      <c r="BV804" s="147"/>
      <c r="BW804" s="147"/>
      <c r="BX804" s="147"/>
      <c r="BY804" s="147"/>
      <c r="BZ804" s="147"/>
      <c r="CA804" s="147"/>
      <c r="CB804" s="147"/>
      <c r="CC804" s="147"/>
      <c r="CD804" s="147"/>
      <c r="CE804" s="147"/>
      <c r="CF804" s="147"/>
      <c r="CG804" s="147"/>
      <c r="CH804" s="147"/>
      <c r="CI804" s="147"/>
      <c r="CJ804" s="147"/>
      <c r="CK804" s="147"/>
    </row>
    <row r="805" spans="1:89">
      <c r="A805" s="147"/>
      <c r="B805" s="147"/>
      <c r="C805" s="147"/>
      <c r="D805" s="147"/>
      <c r="E805" s="147"/>
      <c r="F805" s="147"/>
      <c r="G805" s="147"/>
      <c r="H805" s="147"/>
      <c r="I805" s="147"/>
      <c r="J805" s="147"/>
      <c r="K805" s="147"/>
      <c r="L805" s="147"/>
      <c r="M805" s="147"/>
      <c r="N805" s="147"/>
      <c r="O805" s="158"/>
      <c r="P805" s="147"/>
      <c r="Q805" s="147"/>
      <c r="R805" s="147"/>
      <c r="S805" s="147"/>
      <c r="T805" s="147"/>
      <c r="U805" s="147"/>
      <c r="V805" s="147"/>
      <c r="W805" s="147"/>
      <c r="X805" s="147"/>
      <c r="Y805" s="147"/>
      <c r="Z805" s="147"/>
      <c r="AA805" s="147"/>
      <c r="AB805" s="147"/>
      <c r="AC805" s="147"/>
      <c r="AD805" s="147"/>
      <c r="AE805" s="147"/>
      <c r="AF805" s="147"/>
      <c r="AG805" s="147"/>
      <c r="AH805" s="147"/>
      <c r="AI805" s="147"/>
      <c r="AJ805" s="147"/>
      <c r="AK805" s="147"/>
      <c r="AL805" s="147"/>
      <c r="AM805" s="147"/>
      <c r="AN805" s="147"/>
      <c r="AO805" s="147"/>
      <c r="AP805" s="147"/>
      <c r="AQ805" s="147"/>
      <c r="AR805" s="147"/>
      <c r="AS805" s="147"/>
      <c r="AT805" s="147"/>
      <c r="AU805" s="147"/>
      <c r="AV805" s="147"/>
      <c r="AW805" s="147"/>
      <c r="AX805" s="147"/>
      <c r="AY805" s="147"/>
      <c r="AZ805" s="147"/>
      <c r="BA805" s="147"/>
      <c r="BB805" s="147"/>
      <c r="BC805" s="147"/>
      <c r="BD805" s="147"/>
      <c r="BE805" s="147"/>
      <c r="BF805" s="147"/>
      <c r="BG805" s="147"/>
      <c r="BH805" s="147"/>
      <c r="BI805" s="147"/>
      <c r="BJ805" s="147"/>
      <c r="BK805" s="147"/>
      <c r="BL805" s="147"/>
      <c r="BM805" s="147"/>
      <c r="BN805" s="147"/>
      <c r="BO805" s="147"/>
      <c r="BP805" s="147"/>
      <c r="BQ805" s="147"/>
      <c r="BR805" s="147"/>
      <c r="BS805" s="147"/>
      <c r="BT805" s="147"/>
      <c r="BU805" s="147"/>
      <c r="BV805" s="147"/>
      <c r="BW805" s="147"/>
      <c r="BX805" s="147"/>
      <c r="BY805" s="147"/>
      <c r="BZ805" s="147"/>
      <c r="CA805" s="147"/>
      <c r="CB805" s="147"/>
      <c r="CC805" s="147"/>
      <c r="CD805" s="147"/>
      <c r="CE805" s="147"/>
      <c r="CF805" s="147"/>
      <c r="CG805" s="147"/>
      <c r="CH805" s="147"/>
      <c r="CI805" s="147"/>
      <c r="CJ805" s="147"/>
      <c r="CK805" s="147"/>
    </row>
    <row r="806" spans="1:89">
      <c r="A806" s="147"/>
      <c r="B806" s="147"/>
      <c r="C806" s="147"/>
      <c r="D806" s="147"/>
      <c r="E806" s="147"/>
      <c r="F806" s="147"/>
      <c r="G806" s="147"/>
      <c r="H806" s="147"/>
      <c r="I806" s="147"/>
      <c r="J806" s="147"/>
      <c r="K806" s="147"/>
      <c r="L806" s="147"/>
      <c r="M806" s="147"/>
      <c r="N806" s="147"/>
      <c r="O806" s="158"/>
      <c r="P806" s="147"/>
      <c r="Q806" s="147"/>
      <c r="R806" s="147"/>
      <c r="S806" s="147"/>
      <c r="T806" s="147"/>
      <c r="U806" s="147"/>
      <c r="V806" s="147"/>
      <c r="W806" s="147"/>
      <c r="X806" s="147"/>
      <c r="Y806" s="147"/>
      <c r="Z806" s="147"/>
      <c r="AA806" s="147"/>
      <c r="AB806" s="147"/>
      <c r="AC806" s="147"/>
      <c r="AD806" s="147"/>
      <c r="AE806" s="147"/>
      <c r="AF806" s="147"/>
      <c r="AG806" s="147"/>
      <c r="AH806" s="147"/>
      <c r="AI806" s="147"/>
      <c r="AJ806" s="147"/>
      <c r="AK806" s="147"/>
      <c r="AL806" s="147"/>
      <c r="AM806" s="147"/>
      <c r="AN806" s="147"/>
      <c r="AO806" s="147"/>
      <c r="AP806" s="147"/>
      <c r="AQ806" s="147"/>
      <c r="AR806" s="147"/>
      <c r="AS806" s="147"/>
      <c r="AT806" s="147"/>
      <c r="AU806" s="147"/>
      <c r="AV806" s="147"/>
      <c r="AW806" s="147"/>
      <c r="AX806" s="147"/>
      <c r="AY806" s="147"/>
      <c r="AZ806" s="147"/>
      <c r="BA806" s="147"/>
      <c r="BB806" s="147"/>
      <c r="BC806" s="147"/>
      <c r="BD806" s="147"/>
      <c r="BE806" s="147"/>
      <c r="BF806" s="147"/>
      <c r="BG806" s="147"/>
      <c r="BH806" s="147"/>
      <c r="BI806" s="147"/>
      <c r="BJ806" s="147"/>
      <c r="BK806" s="147"/>
      <c r="BL806" s="147"/>
      <c r="BM806" s="147"/>
      <c r="BN806" s="147"/>
      <c r="BO806" s="147"/>
      <c r="BP806" s="147"/>
      <c r="BQ806" s="147"/>
      <c r="BR806" s="147"/>
      <c r="BS806" s="147"/>
      <c r="BT806" s="147"/>
      <c r="BU806" s="147"/>
      <c r="BV806" s="147"/>
      <c r="BW806" s="147"/>
      <c r="BX806" s="147"/>
      <c r="BY806" s="147"/>
      <c r="BZ806" s="147"/>
      <c r="CA806" s="147"/>
      <c r="CB806" s="147"/>
      <c r="CC806" s="147"/>
      <c r="CD806" s="147"/>
      <c r="CE806" s="147"/>
      <c r="CF806" s="147"/>
      <c r="CG806" s="147"/>
      <c r="CH806" s="147"/>
      <c r="CI806" s="147"/>
      <c r="CJ806" s="147"/>
      <c r="CK806" s="147"/>
    </row>
    <row r="807" spans="1:89">
      <c r="A807" s="147"/>
      <c r="B807" s="147"/>
      <c r="C807" s="147"/>
      <c r="D807" s="147"/>
      <c r="E807" s="147"/>
      <c r="F807" s="147"/>
      <c r="G807" s="147"/>
      <c r="H807" s="147"/>
      <c r="I807" s="147"/>
      <c r="J807" s="147"/>
      <c r="K807" s="147"/>
      <c r="L807" s="147"/>
      <c r="M807" s="147"/>
      <c r="N807" s="147"/>
      <c r="O807" s="158"/>
      <c r="P807" s="147"/>
      <c r="Q807" s="147"/>
      <c r="R807" s="147"/>
      <c r="S807" s="147"/>
      <c r="T807" s="147"/>
      <c r="U807" s="147"/>
      <c r="V807" s="147"/>
      <c r="W807" s="147"/>
      <c r="X807" s="147"/>
      <c r="Y807" s="147"/>
      <c r="Z807" s="147"/>
      <c r="AA807" s="147"/>
      <c r="AB807" s="147"/>
      <c r="AC807" s="147"/>
      <c r="AD807" s="147"/>
      <c r="AE807" s="147"/>
      <c r="AF807" s="147"/>
      <c r="AG807" s="147"/>
      <c r="AH807" s="147"/>
      <c r="AI807" s="147"/>
      <c r="AJ807" s="147"/>
      <c r="AK807" s="147"/>
      <c r="AL807" s="147"/>
      <c r="AM807" s="147"/>
      <c r="AN807" s="147"/>
      <c r="AO807" s="147"/>
      <c r="AP807" s="147"/>
      <c r="AQ807" s="147"/>
      <c r="AR807" s="147"/>
      <c r="AS807" s="147"/>
      <c r="AT807" s="147"/>
      <c r="AU807" s="147"/>
      <c r="AV807" s="147"/>
      <c r="AW807" s="147"/>
      <c r="AX807" s="147"/>
      <c r="AY807" s="147"/>
      <c r="AZ807" s="147"/>
      <c r="BA807" s="147"/>
      <c r="BB807" s="147"/>
      <c r="BC807" s="147"/>
      <c r="BD807" s="147"/>
      <c r="BE807" s="147"/>
      <c r="BF807" s="147"/>
      <c r="BG807" s="147"/>
      <c r="BH807" s="147"/>
      <c r="BI807" s="147"/>
      <c r="BJ807" s="147"/>
      <c r="BK807" s="147"/>
      <c r="BL807" s="147"/>
      <c r="BM807" s="147"/>
      <c r="BN807" s="147"/>
      <c r="BO807" s="147"/>
      <c r="BP807" s="147"/>
      <c r="BQ807" s="147"/>
      <c r="BR807" s="147"/>
      <c r="BS807" s="147"/>
      <c r="BT807" s="147"/>
      <c r="BU807" s="147"/>
      <c r="BV807" s="147"/>
      <c r="BW807" s="147"/>
      <c r="BX807" s="147"/>
      <c r="BY807" s="147"/>
      <c r="BZ807" s="147"/>
      <c r="CA807" s="147"/>
      <c r="CB807" s="147"/>
      <c r="CC807" s="147"/>
      <c r="CD807" s="147"/>
      <c r="CE807" s="147"/>
      <c r="CF807" s="147"/>
      <c r="CG807" s="147"/>
      <c r="CH807" s="147"/>
      <c r="CI807" s="147"/>
      <c r="CJ807" s="147"/>
      <c r="CK807" s="147"/>
    </row>
    <row r="808" spans="1:89">
      <c r="A808" s="147"/>
      <c r="B808" s="147"/>
      <c r="C808" s="147"/>
      <c r="D808" s="147"/>
      <c r="E808" s="147"/>
      <c r="F808" s="147"/>
      <c r="G808" s="147"/>
      <c r="H808" s="147"/>
      <c r="I808" s="147"/>
      <c r="J808" s="147"/>
      <c r="K808" s="147"/>
      <c r="L808" s="147"/>
      <c r="M808" s="147"/>
      <c r="N808" s="147"/>
      <c r="O808" s="158"/>
      <c r="P808" s="147"/>
      <c r="Q808" s="147"/>
      <c r="R808" s="147"/>
      <c r="S808" s="147"/>
      <c r="T808" s="147"/>
      <c r="U808" s="147"/>
      <c r="V808" s="147"/>
      <c r="W808" s="147"/>
      <c r="X808" s="147"/>
      <c r="Y808" s="147"/>
      <c r="Z808" s="147"/>
      <c r="AA808" s="147"/>
      <c r="AB808" s="147"/>
      <c r="AC808" s="147"/>
      <c r="AD808" s="147"/>
      <c r="AE808" s="147"/>
      <c r="AF808" s="147"/>
      <c r="AG808" s="147"/>
      <c r="AH808" s="147"/>
      <c r="AI808" s="147"/>
      <c r="AJ808" s="147"/>
      <c r="AK808" s="147"/>
      <c r="AL808" s="147"/>
      <c r="AM808" s="147"/>
      <c r="AN808" s="147"/>
      <c r="AO808" s="147"/>
      <c r="AP808" s="147"/>
      <c r="AQ808" s="147"/>
      <c r="AR808" s="147"/>
      <c r="AS808" s="147"/>
      <c r="AT808" s="147"/>
      <c r="AU808" s="147"/>
      <c r="AV808" s="147"/>
      <c r="AW808" s="147"/>
      <c r="AX808" s="147"/>
      <c r="AY808" s="147"/>
      <c r="AZ808" s="147"/>
      <c r="BA808" s="147"/>
      <c r="BB808" s="147"/>
      <c r="BC808" s="147"/>
      <c r="BD808" s="147"/>
      <c r="BE808" s="147"/>
      <c r="BF808" s="147"/>
      <c r="BG808" s="147"/>
      <c r="BH808" s="147"/>
      <c r="BI808" s="147"/>
      <c r="BJ808" s="147"/>
      <c r="BK808" s="147"/>
      <c r="BL808" s="147"/>
      <c r="BM808" s="147"/>
      <c r="BN808" s="147"/>
      <c r="BO808" s="147"/>
      <c r="BP808" s="147"/>
      <c r="BQ808" s="147"/>
      <c r="BR808" s="147"/>
      <c r="BS808" s="147"/>
      <c r="BT808" s="147"/>
      <c r="BU808" s="147"/>
      <c r="BV808" s="147"/>
      <c r="BW808" s="147"/>
      <c r="BX808" s="147"/>
      <c r="BY808" s="147"/>
      <c r="BZ808" s="147"/>
      <c r="CA808" s="147"/>
      <c r="CB808" s="147"/>
      <c r="CC808" s="147"/>
      <c r="CD808" s="147"/>
      <c r="CE808" s="147"/>
      <c r="CF808" s="147"/>
      <c r="CG808" s="147"/>
      <c r="CH808" s="147"/>
      <c r="CI808" s="147"/>
      <c r="CJ808" s="147"/>
      <c r="CK808" s="147"/>
    </row>
    <row r="809" spans="1:89">
      <c r="A809" s="147"/>
      <c r="B809" s="147"/>
      <c r="C809" s="147"/>
      <c r="D809" s="147"/>
      <c r="E809" s="147"/>
      <c r="F809" s="147"/>
      <c r="G809" s="147"/>
      <c r="H809" s="147"/>
      <c r="I809" s="147"/>
      <c r="J809" s="147"/>
      <c r="K809" s="147"/>
      <c r="L809" s="147"/>
      <c r="M809" s="147"/>
      <c r="N809" s="147"/>
      <c r="O809" s="158"/>
      <c r="P809" s="147"/>
      <c r="Q809" s="147"/>
      <c r="R809" s="147"/>
      <c r="S809" s="147"/>
      <c r="T809" s="147"/>
      <c r="U809" s="147"/>
      <c r="V809" s="147"/>
      <c r="W809" s="147"/>
      <c r="X809" s="147"/>
      <c r="Y809" s="147"/>
      <c r="Z809" s="147"/>
      <c r="AA809" s="147"/>
      <c r="AB809" s="147"/>
      <c r="AC809" s="147"/>
      <c r="AD809" s="147"/>
      <c r="AE809" s="147"/>
      <c r="AF809" s="147"/>
      <c r="AG809" s="147"/>
      <c r="AH809" s="147"/>
      <c r="AI809" s="147"/>
      <c r="AJ809" s="147"/>
      <c r="AK809" s="147"/>
      <c r="AL809" s="147"/>
      <c r="AM809" s="147"/>
      <c r="AN809" s="147"/>
      <c r="AO809" s="147"/>
      <c r="AP809" s="147"/>
      <c r="AQ809" s="147"/>
      <c r="AR809" s="147"/>
      <c r="AS809" s="147"/>
      <c r="AT809" s="147"/>
      <c r="AU809" s="147"/>
      <c r="AV809" s="147"/>
      <c r="AW809" s="147"/>
      <c r="AX809" s="147"/>
      <c r="AY809" s="147"/>
      <c r="AZ809" s="147"/>
      <c r="BA809" s="147"/>
      <c r="BB809" s="147"/>
      <c r="BC809" s="147"/>
      <c r="BD809" s="147"/>
      <c r="BE809" s="147"/>
      <c r="BF809" s="147"/>
      <c r="BG809" s="147"/>
      <c r="BH809" s="147"/>
      <c r="BI809" s="147"/>
      <c r="BJ809" s="147"/>
      <c r="BK809" s="147"/>
      <c r="BL809" s="147"/>
      <c r="BM809" s="147"/>
      <c r="BN809" s="147"/>
      <c r="BO809" s="147"/>
      <c r="BP809" s="147"/>
      <c r="BQ809" s="147"/>
      <c r="BR809" s="147"/>
      <c r="BS809" s="147"/>
      <c r="BT809" s="147"/>
      <c r="BU809" s="147"/>
      <c r="BV809" s="147"/>
      <c r="BW809" s="147"/>
      <c r="BX809" s="147"/>
      <c r="BY809" s="147"/>
      <c r="BZ809" s="147"/>
      <c r="CA809" s="147"/>
      <c r="CB809" s="147"/>
      <c r="CC809" s="147"/>
      <c r="CD809" s="147"/>
      <c r="CE809" s="147"/>
      <c r="CF809" s="147"/>
      <c r="CG809" s="147"/>
      <c r="CH809" s="147"/>
      <c r="CI809" s="147"/>
      <c r="CJ809" s="147"/>
      <c r="CK809" s="147"/>
    </row>
    <row r="810" spans="1:89">
      <c r="A810" s="147"/>
      <c r="B810" s="147"/>
      <c r="C810" s="147"/>
      <c r="D810" s="147"/>
      <c r="E810" s="147"/>
      <c r="F810" s="147"/>
      <c r="G810" s="147"/>
      <c r="H810" s="147"/>
      <c r="I810" s="147"/>
      <c r="J810" s="147"/>
      <c r="K810" s="147"/>
      <c r="L810" s="147"/>
      <c r="M810" s="147"/>
      <c r="N810" s="147"/>
      <c r="O810" s="158"/>
      <c r="P810" s="147"/>
      <c r="Q810" s="147"/>
      <c r="R810" s="147"/>
      <c r="S810" s="147"/>
      <c r="T810" s="147"/>
      <c r="U810" s="147"/>
      <c r="V810" s="147"/>
      <c r="W810" s="147"/>
      <c r="X810" s="147"/>
      <c r="Y810" s="147"/>
      <c r="Z810" s="147"/>
      <c r="AA810" s="147"/>
      <c r="AB810" s="147"/>
      <c r="AC810" s="147"/>
      <c r="AD810" s="147"/>
      <c r="AE810" s="147"/>
      <c r="AF810" s="147"/>
      <c r="AG810" s="147"/>
      <c r="AH810" s="147"/>
      <c r="AI810" s="147"/>
      <c r="AJ810" s="147"/>
      <c r="AK810" s="147"/>
      <c r="AL810" s="147"/>
      <c r="AM810" s="147"/>
      <c r="AN810" s="147"/>
      <c r="AO810" s="147"/>
      <c r="AP810" s="147"/>
      <c r="AQ810" s="147"/>
      <c r="AR810" s="147"/>
      <c r="AS810" s="147"/>
      <c r="AT810" s="147"/>
      <c r="AU810" s="147"/>
      <c r="AV810" s="147"/>
      <c r="AW810" s="147"/>
      <c r="AX810" s="147"/>
      <c r="AY810" s="147"/>
      <c r="AZ810" s="147"/>
      <c r="BA810" s="147"/>
      <c r="BB810" s="147"/>
      <c r="BC810" s="147"/>
      <c r="BD810" s="147"/>
      <c r="BE810" s="147"/>
      <c r="BF810" s="147"/>
      <c r="BG810" s="147"/>
      <c r="BH810" s="147"/>
      <c r="BI810" s="147"/>
      <c r="BJ810" s="147"/>
      <c r="BK810" s="147"/>
      <c r="BL810" s="147"/>
      <c r="BM810" s="147"/>
      <c r="BN810" s="147"/>
      <c r="BO810" s="147"/>
      <c r="BP810" s="147"/>
      <c r="BQ810" s="147"/>
      <c r="BR810" s="147"/>
      <c r="BS810" s="147"/>
      <c r="BT810" s="147"/>
      <c r="BU810" s="147"/>
      <c r="BV810" s="147"/>
      <c r="BW810" s="147"/>
      <c r="BX810" s="147"/>
      <c r="BY810" s="147"/>
      <c r="BZ810" s="147"/>
      <c r="CA810" s="147"/>
      <c r="CB810" s="147"/>
      <c r="CC810" s="147"/>
      <c r="CD810" s="147"/>
      <c r="CE810" s="147"/>
      <c r="CF810" s="147"/>
      <c r="CG810" s="147"/>
      <c r="CH810" s="147"/>
      <c r="CI810" s="147"/>
      <c r="CJ810" s="147"/>
      <c r="CK810" s="147"/>
    </row>
    <row r="811" spans="1:89">
      <c r="A811" s="147"/>
      <c r="B811" s="147"/>
      <c r="C811" s="147"/>
      <c r="D811" s="147"/>
      <c r="E811" s="147"/>
      <c r="F811" s="147"/>
      <c r="G811" s="147"/>
      <c r="H811" s="147"/>
      <c r="I811" s="147"/>
      <c r="J811" s="147"/>
      <c r="K811" s="147"/>
      <c r="L811" s="147"/>
      <c r="M811" s="147"/>
      <c r="N811" s="147"/>
      <c r="O811" s="158"/>
      <c r="P811" s="147"/>
      <c r="Q811" s="147"/>
      <c r="R811" s="147"/>
      <c r="S811" s="147"/>
      <c r="T811" s="147"/>
      <c r="U811" s="147"/>
      <c r="V811" s="147"/>
      <c r="W811" s="147"/>
      <c r="X811" s="147"/>
      <c r="Y811" s="147"/>
      <c r="Z811" s="147"/>
      <c r="AA811" s="147"/>
      <c r="AB811" s="147"/>
      <c r="AC811" s="147"/>
      <c r="AD811" s="147"/>
      <c r="AE811" s="147"/>
      <c r="AF811" s="147"/>
      <c r="AG811" s="147"/>
      <c r="AH811" s="147"/>
      <c r="AI811" s="147"/>
      <c r="AJ811" s="147"/>
      <c r="AK811" s="147"/>
      <c r="AL811" s="147"/>
      <c r="AM811" s="147"/>
      <c r="AN811" s="147"/>
      <c r="AO811" s="147"/>
      <c r="AP811" s="147"/>
      <c r="AQ811" s="147"/>
      <c r="AR811" s="147"/>
      <c r="AS811" s="147"/>
      <c r="AT811" s="147"/>
      <c r="AU811" s="147"/>
      <c r="AV811" s="147"/>
      <c r="AW811" s="147"/>
      <c r="AX811" s="147"/>
      <c r="AY811" s="147"/>
      <c r="AZ811" s="147"/>
      <c r="BA811" s="147"/>
      <c r="BB811" s="147"/>
      <c r="BC811" s="147"/>
      <c r="BD811" s="147"/>
      <c r="BE811" s="147"/>
      <c r="BF811" s="147"/>
      <c r="BG811" s="147"/>
      <c r="BH811" s="147"/>
      <c r="BI811" s="147"/>
      <c r="BJ811" s="147"/>
      <c r="BK811" s="147"/>
      <c r="BL811" s="147"/>
      <c r="BM811" s="147"/>
      <c r="BN811" s="147"/>
      <c r="BO811" s="147"/>
      <c r="BP811" s="147"/>
      <c r="BQ811" s="147"/>
      <c r="BR811" s="147"/>
      <c r="BS811" s="147"/>
      <c r="BT811" s="147"/>
      <c r="BU811" s="147"/>
      <c r="BV811" s="147"/>
      <c r="BW811" s="147"/>
      <c r="BX811" s="147"/>
      <c r="BY811" s="147"/>
      <c r="BZ811" s="147"/>
      <c r="CA811" s="147"/>
      <c r="CB811" s="147"/>
      <c r="CC811" s="147"/>
      <c r="CD811" s="147"/>
      <c r="CE811" s="147"/>
      <c r="CF811" s="147"/>
      <c r="CG811" s="147"/>
      <c r="CH811" s="147"/>
      <c r="CI811" s="147"/>
      <c r="CJ811" s="147"/>
      <c r="CK811" s="147"/>
    </row>
    <row r="812" spans="1:89">
      <c r="A812" s="147"/>
      <c r="B812" s="147"/>
      <c r="C812" s="147"/>
      <c r="D812" s="147"/>
      <c r="E812" s="147"/>
      <c r="F812" s="147"/>
      <c r="G812" s="147"/>
      <c r="H812" s="147"/>
      <c r="I812" s="147"/>
      <c r="J812" s="147"/>
      <c r="K812" s="147"/>
      <c r="L812" s="147"/>
      <c r="M812" s="147"/>
      <c r="N812" s="147"/>
      <c r="O812" s="158"/>
      <c r="P812" s="147"/>
      <c r="Q812" s="147"/>
      <c r="R812" s="147"/>
      <c r="S812" s="147"/>
      <c r="T812" s="147"/>
      <c r="U812" s="147"/>
      <c r="V812" s="147"/>
      <c r="W812" s="147"/>
      <c r="X812" s="147"/>
      <c r="Y812" s="147"/>
      <c r="Z812" s="147"/>
      <c r="AA812" s="147"/>
      <c r="AB812" s="147"/>
      <c r="AC812" s="147"/>
      <c r="AD812" s="147"/>
      <c r="AE812" s="147"/>
      <c r="AF812" s="147"/>
      <c r="AG812" s="147"/>
      <c r="AH812" s="147"/>
      <c r="AI812" s="147"/>
      <c r="AJ812" s="147"/>
      <c r="AK812" s="147"/>
      <c r="AL812" s="147"/>
      <c r="AM812" s="147"/>
      <c r="AN812" s="147"/>
      <c r="AO812" s="147"/>
      <c r="AP812" s="147"/>
      <c r="AQ812" s="147"/>
      <c r="AR812" s="147"/>
      <c r="AS812" s="147"/>
      <c r="AT812" s="147"/>
      <c r="AU812" s="147"/>
      <c r="AV812" s="147"/>
      <c r="AW812" s="147"/>
      <c r="AX812" s="147"/>
      <c r="AY812" s="147"/>
      <c r="AZ812" s="147"/>
      <c r="BA812" s="147"/>
      <c r="BB812" s="147"/>
      <c r="BC812" s="147"/>
      <c r="BD812" s="147"/>
      <c r="BE812" s="147"/>
      <c r="BF812" s="147"/>
      <c r="BG812" s="147"/>
      <c r="BH812" s="147"/>
      <c r="BI812" s="147"/>
      <c r="BJ812" s="147"/>
      <c r="BK812" s="147"/>
      <c r="BL812" s="147"/>
      <c r="BM812" s="147"/>
      <c r="BN812" s="147"/>
      <c r="BO812" s="147"/>
      <c r="BP812" s="147"/>
      <c r="BQ812" s="147"/>
      <c r="BR812" s="147"/>
      <c r="BS812" s="147"/>
      <c r="BT812" s="147"/>
      <c r="BU812" s="147"/>
      <c r="BV812" s="147"/>
      <c r="BW812" s="147"/>
      <c r="BX812" s="147"/>
      <c r="BY812" s="147"/>
      <c r="BZ812" s="147"/>
      <c r="CA812" s="147"/>
      <c r="CB812" s="147"/>
      <c r="CC812" s="147"/>
      <c r="CD812" s="147"/>
      <c r="CE812" s="147"/>
      <c r="CF812" s="147"/>
      <c r="CG812" s="147"/>
      <c r="CH812" s="147"/>
      <c r="CI812" s="147"/>
      <c r="CJ812" s="147"/>
      <c r="CK812" s="147"/>
    </row>
    <row r="813" spans="1:89">
      <c r="A813" s="147"/>
      <c r="B813" s="147"/>
      <c r="C813" s="147"/>
      <c r="D813" s="147"/>
      <c r="E813" s="147"/>
      <c r="F813" s="147"/>
      <c r="G813" s="147"/>
      <c r="H813" s="147"/>
      <c r="I813" s="147"/>
      <c r="J813" s="147"/>
      <c r="K813" s="147"/>
      <c r="L813" s="147"/>
      <c r="M813" s="147"/>
      <c r="N813" s="147"/>
      <c r="O813" s="158"/>
      <c r="P813" s="147"/>
      <c r="Q813" s="147"/>
      <c r="R813" s="147"/>
      <c r="S813" s="147"/>
      <c r="T813" s="147"/>
      <c r="U813" s="147"/>
      <c r="V813" s="147"/>
      <c r="W813" s="147"/>
      <c r="X813" s="147"/>
      <c r="Y813" s="147"/>
      <c r="Z813" s="147"/>
      <c r="AA813" s="147"/>
      <c r="AB813" s="147"/>
      <c r="AC813" s="147"/>
      <c r="AD813" s="147"/>
      <c r="AE813" s="147"/>
      <c r="AF813" s="147"/>
      <c r="AG813" s="147"/>
      <c r="AH813" s="147"/>
      <c r="AI813" s="147"/>
      <c r="AJ813" s="147"/>
      <c r="AK813" s="147"/>
      <c r="AL813" s="147"/>
      <c r="AM813" s="147"/>
      <c r="AN813" s="147"/>
      <c r="AO813" s="147"/>
      <c r="AP813" s="147"/>
      <c r="AQ813" s="147"/>
      <c r="AR813" s="147"/>
      <c r="AS813" s="147"/>
      <c r="AT813" s="147"/>
      <c r="AU813" s="147"/>
      <c r="AV813" s="147"/>
      <c r="AW813" s="147"/>
      <c r="AX813" s="147"/>
      <c r="AY813" s="147"/>
      <c r="AZ813" s="147"/>
      <c r="BA813" s="147"/>
      <c r="BB813" s="147"/>
      <c r="BC813" s="147"/>
      <c r="BD813" s="147"/>
      <c r="BE813" s="147"/>
      <c r="BF813" s="147"/>
      <c r="BG813" s="147"/>
      <c r="BH813" s="147"/>
      <c r="BI813" s="147"/>
      <c r="BJ813" s="147"/>
      <c r="BK813" s="147"/>
      <c r="BL813" s="147"/>
      <c r="BM813" s="147"/>
      <c r="BN813" s="147"/>
      <c r="BO813" s="147"/>
      <c r="BP813" s="147"/>
      <c r="BQ813" s="147"/>
      <c r="BR813" s="147"/>
      <c r="BS813" s="147"/>
      <c r="BT813" s="147"/>
      <c r="BU813" s="147"/>
      <c r="BV813" s="147"/>
      <c r="BW813" s="147"/>
      <c r="BX813" s="147"/>
      <c r="BY813" s="147"/>
      <c r="BZ813" s="147"/>
      <c r="CA813" s="147"/>
      <c r="CB813" s="147"/>
      <c r="CC813" s="147"/>
      <c r="CD813" s="147"/>
      <c r="CE813" s="147"/>
      <c r="CF813" s="147"/>
      <c r="CG813" s="147"/>
      <c r="CH813" s="147"/>
      <c r="CI813" s="147"/>
      <c r="CJ813" s="147"/>
      <c r="CK813" s="147"/>
    </row>
    <row r="814" spans="1:89">
      <c r="A814" s="147"/>
      <c r="B814" s="147"/>
      <c r="C814" s="147"/>
      <c r="D814" s="147"/>
      <c r="E814" s="147"/>
      <c r="F814" s="147"/>
      <c r="G814" s="147"/>
      <c r="H814" s="147"/>
      <c r="I814" s="147"/>
      <c r="J814" s="147"/>
      <c r="K814" s="147"/>
      <c r="L814" s="147"/>
      <c r="M814" s="147"/>
      <c r="N814" s="147"/>
      <c r="O814" s="158"/>
      <c r="P814" s="147"/>
      <c r="Q814" s="147"/>
      <c r="R814" s="147"/>
      <c r="S814" s="147"/>
      <c r="T814" s="147"/>
      <c r="U814" s="147"/>
      <c r="V814" s="147"/>
      <c r="W814" s="147"/>
      <c r="X814" s="147"/>
      <c r="Y814" s="147"/>
      <c r="Z814" s="147"/>
      <c r="AA814" s="147"/>
      <c r="AB814" s="147"/>
      <c r="AC814" s="147"/>
      <c r="AD814" s="147"/>
      <c r="AE814" s="147"/>
      <c r="AF814" s="147"/>
      <c r="AG814" s="147"/>
      <c r="AH814" s="147"/>
      <c r="AI814" s="147"/>
      <c r="AJ814" s="147"/>
      <c r="AK814" s="147"/>
      <c r="AL814" s="147"/>
      <c r="AM814" s="147"/>
      <c r="AN814" s="147"/>
      <c r="AO814" s="147"/>
      <c r="AP814" s="147"/>
      <c r="AQ814" s="147"/>
      <c r="AR814" s="147"/>
      <c r="AS814" s="147"/>
      <c r="AT814" s="147"/>
      <c r="AU814" s="147"/>
      <c r="AV814" s="147"/>
      <c r="AW814" s="147"/>
      <c r="AX814" s="147"/>
      <c r="AY814" s="147"/>
      <c r="AZ814" s="147"/>
      <c r="BA814" s="147"/>
      <c r="BB814" s="147"/>
      <c r="BC814" s="147"/>
      <c r="BD814" s="147"/>
      <c r="BE814" s="147"/>
      <c r="BF814" s="147"/>
      <c r="BG814" s="147"/>
      <c r="BH814" s="147"/>
      <c r="BI814" s="147"/>
      <c r="BJ814" s="147"/>
      <c r="BK814" s="147"/>
      <c r="BL814" s="147"/>
      <c r="BM814" s="147"/>
      <c r="BN814" s="147"/>
      <c r="BO814" s="147"/>
      <c r="BP814" s="147"/>
      <c r="BQ814" s="147"/>
      <c r="BR814" s="147"/>
      <c r="BS814" s="147"/>
      <c r="BT814" s="147"/>
      <c r="BU814" s="147"/>
      <c r="BV814" s="147"/>
      <c r="BW814" s="147"/>
      <c r="BX814" s="147"/>
      <c r="BY814" s="147"/>
      <c r="BZ814" s="147"/>
      <c r="CA814" s="147"/>
      <c r="CB814" s="147"/>
      <c r="CC814" s="147"/>
      <c r="CD814" s="147"/>
      <c r="CE814" s="147"/>
      <c r="CF814" s="147"/>
      <c r="CG814" s="147"/>
      <c r="CH814" s="147"/>
      <c r="CI814" s="147"/>
      <c r="CJ814" s="147"/>
      <c r="CK814" s="147"/>
    </row>
    <row r="815" spans="1:89">
      <c r="A815" s="147"/>
      <c r="B815" s="147"/>
      <c r="C815" s="147"/>
      <c r="D815" s="147"/>
      <c r="E815" s="147"/>
      <c r="F815" s="147"/>
      <c r="G815" s="147"/>
      <c r="H815" s="147"/>
      <c r="I815" s="147"/>
      <c r="J815" s="147"/>
      <c r="K815" s="147"/>
      <c r="L815" s="147"/>
      <c r="M815" s="147"/>
      <c r="N815" s="147"/>
      <c r="O815" s="158"/>
      <c r="P815" s="147"/>
      <c r="Q815" s="147"/>
      <c r="R815" s="147"/>
      <c r="S815" s="147"/>
      <c r="T815" s="147"/>
      <c r="U815" s="147"/>
      <c r="V815" s="147"/>
      <c r="W815" s="147"/>
      <c r="X815" s="147"/>
      <c r="Y815" s="147"/>
      <c r="Z815" s="147"/>
      <c r="AA815" s="147"/>
      <c r="AB815" s="147"/>
      <c r="AC815" s="147"/>
      <c r="AD815" s="147"/>
      <c r="AE815" s="147"/>
      <c r="AF815" s="147"/>
      <c r="AG815" s="147"/>
      <c r="AH815" s="147"/>
      <c r="AI815" s="147"/>
      <c r="AJ815" s="147"/>
      <c r="AK815" s="147"/>
      <c r="AL815" s="147"/>
      <c r="AM815" s="147"/>
      <c r="AN815" s="147"/>
      <c r="AO815" s="147"/>
      <c r="AP815" s="147"/>
      <c r="AQ815" s="147"/>
      <c r="AR815" s="147"/>
      <c r="AS815" s="147"/>
      <c r="AT815" s="147"/>
      <c r="AU815" s="147"/>
      <c r="AV815" s="147"/>
      <c r="AW815" s="147"/>
      <c r="AX815" s="147"/>
      <c r="AY815" s="147"/>
      <c r="AZ815" s="147"/>
      <c r="BA815" s="147"/>
      <c r="BB815" s="147"/>
      <c r="BC815" s="147"/>
      <c r="BD815" s="147"/>
      <c r="BE815" s="147"/>
      <c r="BF815" s="147"/>
      <c r="BG815" s="147"/>
      <c r="BH815" s="147"/>
      <c r="BI815" s="147"/>
      <c r="BJ815" s="147"/>
      <c r="BK815" s="147"/>
      <c r="BL815" s="147"/>
      <c r="BM815" s="147"/>
      <c r="BN815" s="147"/>
      <c r="BO815" s="147"/>
      <c r="BP815" s="147"/>
      <c r="BQ815" s="147"/>
      <c r="BR815" s="147"/>
      <c r="BS815" s="147"/>
      <c r="BT815" s="147"/>
      <c r="BU815" s="147"/>
      <c r="BV815" s="147"/>
      <c r="BW815" s="147"/>
      <c r="BX815" s="147"/>
      <c r="BY815" s="147"/>
      <c r="BZ815" s="147"/>
      <c r="CA815" s="147"/>
      <c r="CB815" s="147"/>
      <c r="CC815" s="147"/>
      <c r="CD815" s="147"/>
      <c r="CE815" s="147"/>
      <c r="CF815" s="147"/>
      <c r="CG815" s="147"/>
      <c r="CH815" s="147"/>
      <c r="CI815" s="147"/>
      <c r="CJ815" s="147"/>
      <c r="CK815" s="147"/>
    </row>
    <row r="816" spans="1:89">
      <c r="A816" s="147"/>
      <c r="B816" s="147"/>
      <c r="C816" s="147"/>
      <c r="D816" s="147"/>
      <c r="E816" s="147"/>
      <c r="F816" s="147"/>
      <c r="G816" s="147"/>
      <c r="H816" s="147"/>
      <c r="I816" s="147"/>
      <c r="J816" s="147"/>
      <c r="K816" s="147"/>
      <c r="L816" s="147"/>
      <c r="M816" s="147"/>
      <c r="N816" s="147"/>
      <c r="O816" s="158"/>
      <c r="P816" s="147"/>
      <c r="Q816" s="147"/>
      <c r="R816" s="147"/>
      <c r="S816" s="147"/>
      <c r="T816" s="147"/>
      <c r="U816" s="147"/>
      <c r="V816" s="147"/>
      <c r="W816" s="147"/>
      <c r="X816" s="147"/>
      <c r="Y816" s="147"/>
      <c r="Z816" s="147"/>
      <c r="AA816" s="147"/>
      <c r="AB816" s="147"/>
      <c r="AC816" s="147"/>
      <c r="AD816" s="147"/>
      <c r="AE816" s="147"/>
      <c r="AF816" s="147"/>
      <c r="AG816" s="147"/>
      <c r="AH816" s="147"/>
      <c r="AI816" s="147"/>
      <c r="AJ816" s="147"/>
      <c r="AK816" s="147"/>
      <c r="AL816" s="147"/>
      <c r="AM816" s="147"/>
      <c r="AN816" s="147"/>
      <c r="AO816" s="147"/>
      <c r="AP816" s="147"/>
      <c r="AQ816" s="147"/>
      <c r="AR816" s="147"/>
      <c r="AS816" s="147"/>
      <c r="AT816" s="147"/>
      <c r="AU816" s="147"/>
      <c r="AV816" s="147"/>
      <c r="AW816" s="147"/>
      <c r="AX816" s="147"/>
      <c r="AY816" s="147"/>
      <c r="AZ816" s="147"/>
      <c r="BA816" s="147"/>
      <c r="BB816" s="147"/>
      <c r="BC816" s="147"/>
      <c r="BD816" s="147"/>
      <c r="BE816" s="147"/>
      <c r="BF816" s="147"/>
      <c r="BG816" s="147"/>
      <c r="BH816" s="147"/>
      <c r="BI816" s="147"/>
      <c r="BJ816" s="147"/>
      <c r="BK816" s="147"/>
      <c r="BL816" s="147"/>
      <c r="BM816" s="147"/>
      <c r="BN816" s="147"/>
      <c r="BO816" s="147"/>
      <c r="BP816" s="147"/>
      <c r="BQ816" s="147"/>
      <c r="BR816" s="147"/>
      <c r="BS816" s="147"/>
      <c r="BT816" s="147"/>
      <c r="BU816" s="147"/>
      <c r="BV816" s="147"/>
      <c r="BW816" s="147"/>
      <c r="BX816" s="147"/>
      <c r="BY816" s="147"/>
      <c r="BZ816" s="147"/>
      <c r="CA816" s="147"/>
      <c r="CB816" s="147"/>
      <c r="CC816" s="147"/>
      <c r="CD816" s="147"/>
      <c r="CE816" s="147"/>
      <c r="CF816" s="147"/>
      <c r="CG816" s="147"/>
      <c r="CH816" s="147"/>
      <c r="CI816" s="147"/>
      <c r="CJ816" s="147"/>
      <c r="CK816" s="147"/>
    </row>
    <row r="817" spans="1:89">
      <c r="A817" s="147"/>
      <c r="B817" s="147"/>
      <c r="C817" s="147"/>
      <c r="D817" s="147"/>
      <c r="E817" s="147"/>
      <c r="F817" s="147"/>
      <c r="G817" s="147"/>
      <c r="H817" s="147"/>
      <c r="I817" s="147"/>
      <c r="J817" s="147"/>
      <c r="K817" s="147"/>
      <c r="L817" s="147"/>
      <c r="M817" s="147"/>
      <c r="N817" s="147"/>
      <c r="O817" s="158"/>
      <c r="P817" s="147"/>
      <c r="Q817" s="147"/>
      <c r="R817" s="147"/>
      <c r="S817" s="147"/>
      <c r="T817" s="147"/>
      <c r="U817" s="147"/>
      <c r="V817" s="147"/>
      <c r="W817" s="147"/>
      <c r="X817" s="147"/>
      <c r="Y817" s="147"/>
      <c r="Z817" s="147"/>
      <c r="AA817" s="147"/>
      <c r="AB817" s="147"/>
      <c r="AC817" s="147"/>
      <c r="AD817" s="147"/>
      <c r="AE817" s="147"/>
      <c r="AF817" s="147"/>
      <c r="AG817" s="147"/>
      <c r="AH817" s="147"/>
      <c r="AI817" s="147"/>
      <c r="AJ817" s="147"/>
      <c r="AK817" s="147"/>
      <c r="AL817" s="147"/>
      <c r="AM817" s="147"/>
      <c r="AN817" s="147"/>
      <c r="AO817" s="147"/>
      <c r="AP817" s="147"/>
      <c r="AQ817" s="147"/>
      <c r="AR817" s="147"/>
      <c r="AS817" s="147"/>
      <c r="AT817" s="147"/>
      <c r="AU817" s="147"/>
      <c r="AV817" s="147"/>
      <c r="AW817" s="147"/>
      <c r="AX817" s="147"/>
      <c r="AY817" s="147"/>
      <c r="AZ817" s="147"/>
      <c r="BA817" s="147"/>
      <c r="BB817" s="147"/>
      <c r="BC817" s="147"/>
      <c r="BD817" s="147"/>
      <c r="BE817" s="147"/>
      <c r="BF817" s="147"/>
      <c r="BG817" s="147"/>
      <c r="BH817" s="147"/>
      <c r="BI817" s="147"/>
      <c r="BJ817" s="147"/>
      <c r="BK817" s="147"/>
      <c r="BL817" s="147"/>
      <c r="BM817" s="147"/>
      <c r="BN817" s="147"/>
      <c r="BO817" s="147"/>
      <c r="BP817" s="147"/>
      <c r="BQ817" s="147"/>
      <c r="BR817" s="147"/>
      <c r="BS817" s="147"/>
      <c r="BT817" s="147"/>
      <c r="BU817" s="147"/>
      <c r="BV817" s="147"/>
      <c r="BW817" s="147"/>
      <c r="BX817" s="147"/>
      <c r="BY817" s="147"/>
      <c r="BZ817" s="147"/>
      <c r="CA817" s="147"/>
      <c r="CB817" s="147"/>
      <c r="CC817" s="147"/>
      <c r="CD817" s="147"/>
      <c r="CE817" s="147"/>
      <c r="CF817" s="147"/>
      <c r="CG817" s="147"/>
      <c r="CH817" s="147"/>
      <c r="CI817" s="147"/>
      <c r="CJ817" s="147"/>
      <c r="CK817" s="147"/>
    </row>
    <row r="818" spans="1:89">
      <c r="A818" s="147"/>
      <c r="B818" s="147"/>
      <c r="C818" s="147"/>
      <c r="D818" s="147"/>
      <c r="E818" s="147"/>
      <c r="F818" s="147"/>
      <c r="G818" s="147"/>
      <c r="H818" s="147"/>
      <c r="I818" s="147"/>
      <c r="J818" s="147"/>
      <c r="K818" s="147"/>
      <c r="L818" s="147"/>
      <c r="M818" s="147"/>
      <c r="N818" s="147"/>
      <c r="O818" s="158"/>
      <c r="P818" s="147"/>
      <c r="Q818" s="147"/>
      <c r="R818" s="147"/>
      <c r="S818" s="147"/>
      <c r="T818" s="147"/>
      <c r="U818" s="147"/>
      <c r="V818" s="147"/>
      <c r="W818" s="147"/>
      <c r="X818" s="147"/>
      <c r="Y818" s="147"/>
      <c r="Z818" s="147"/>
      <c r="AA818" s="147"/>
      <c r="AB818" s="147"/>
      <c r="AC818" s="147"/>
      <c r="AD818" s="147"/>
      <c r="AE818" s="147"/>
      <c r="AF818" s="147"/>
      <c r="AG818" s="147"/>
      <c r="AH818" s="147"/>
      <c r="AI818" s="147"/>
      <c r="AJ818" s="147"/>
      <c r="AK818" s="147"/>
      <c r="AL818" s="147"/>
      <c r="AM818" s="147"/>
      <c r="AN818" s="147"/>
      <c r="AO818" s="147"/>
      <c r="AP818" s="147"/>
      <c r="AQ818" s="147"/>
      <c r="AR818" s="147"/>
      <c r="AS818" s="147"/>
      <c r="AT818" s="147"/>
      <c r="AU818" s="147"/>
      <c r="AV818" s="147"/>
      <c r="AW818" s="147"/>
      <c r="AX818" s="147"/>
      <c r="AY818" s="147"/>
      <c r="AZ818" s="147"/>
      <c r="BA818" s="147"/>
      <c r="BB818" s="147"/>
      <c r="BC818" s="147"/>
      <c r="BD818" s="147"/>
      <c r="BE818" s="147"/>
      <c r="BF818" s="147"/>
      <c r="BG818" s="147"/>
      <c r="BH818" s="147"/>
      <c r="BI818" s="147"/>
      <c r="BJ818" s="147"/>
      <c r="BK818" s="147"/>
      <c r="BL818" s="147"/>
      <c r="BM818" s="147"/>
      <c r="BN818" s="147"/>
      <c r="BO818" s="147"/>
      <c r="BP818" s="147"/>
      <c r="BQ818" s="147"/>
      <c r="BR818" s="147"/>
      <c r="BS818" s="147"/>
      <c r="BT818" s="147"/>
      <c r="BU818" s="147"/>
      <c r="BV818" s="147"/>
      <c r="BW818" s="147"/>
      <c r="BX818" s="147"/>
      <c r="BY818" s="147"/>
      <c r="BZ818" s="147"/>
      <c r="CA818" s="147"/>
      <c r="CB818" s="147"/>
      <c r="CC818" s="147"/>
      <c r="CD818" s="147"/>
      <c r="CE818" s="147"/>
      <c r="CF818" s="147"/>
      <c r="CG818" s="147"/>
      <c r="CH818" s="147"/>
      <c r="CI818" s="147"/>
      <c r="CJ818" s="147"/>
      <c r="CK818" s="147"/>
    </row>
    <row r="819" spans="1:89">
      <c r="A819" s="147"/>
      <c r="B819" s="147"/>
      <c r="C819" s="147"/>
      <c r="D819" s="147"/>
      <c r="E819" s="147"/>
      <c r="F819" s="147"/>
      <c r="G819" s="147"/>
      <c r="H819" s="147"/>
      <c r="I819" s="147"/>
      <c r="J819" s="147"/>
      <c r="K819" s="147"/>
      <c r="L819" s="147"/>
      <c r="M819" s="147"/>
      <c r="N819" s="147"/>
      <c r="O819" s="158"/>
      <c r="P819" s="147"/>
      <c r="Q819" s="147"/>
      <c r="R819" s="147"/>
      <c r="S819" s="147"/>
      <c r="T819" s="147"/>
      <c r="U819" s="147"/>
      <c r="V819" s="147"/>
      <c r="W819" s="147"/>
      <c r="X819" s="147"/>
      <c r="Y819" s="147"/>
      <c r="Z819" s="147"/>
      <c r="AA819" s="147"/>
      <c r="AB819" s="147"/>
      <c r="AC819" s="147"/>
      <c r="AD819" s="147"/>
      <c r="AE819" s="147"/>
      <c r="AF819" s="147"/>
      <c r="AG819" s="147"/>
      <c r="AH819" s="147"/>
      <c r="AI819" s="147"/>
      <c r="AJ819" s="147"/>
      <c r="AK819" s="147"/>
      <c r="AL819" s="147"/>
      <c r="AM819" s="147"/>
      <c r="AN819" s="147"/>
      <c r="AO819" s="147"/>
      <c r="AP819" s="147"/>
      <c r="AQ819" s="147"/>
      <c r="AR819" s="147"/>
      <c r="AS819" s="147"/>
      <c r="AT819" s="147"/>
      <c r="AU819" s="147"/>
      <c r="AV819" s="147"/>
      <c r="AW819" s="147"/>
      <c r="AX819" s="147"/>
      <c r="AY819" s="147"/>
      <c r="AZ819" s="147"/>
      <c r="BA819" s="147"/>
      <c r="BB819" s="147"/>
      <c r="BC819" s="147"/>
      <c r="BD819" s="147"/>
      <c r="BE819" s="147"/>
      <c r="BF819" s="147"/>
      <c r="BG819" s="147"/>
      <c r="BH819" s="147"/>
      <c r="BI819" s="147"/>
      <c r="BJ819" s="147"/>
      <c r="BK819" s="147"/>
      <c r="BL819" s="147"/>
      <c r="BM819" s="147"/>
      <c r="BN819" s="147"/>
      <c r="BO819" s="147"/>
      <c r="BP819" s="147"/>
      <c r="BQ819" s="147"/>
      <c r="BR819" s="147"/>
      <c r="BS819" s="147"/>
      <c r="BT819" s="147"/>
      <c r="BU819" s="147"/>
      <c r="BV819" s="147"/>
      <c r="BW819" s="147"/>
      <c r="BX819" s="147"/>
      <c r="BY819" s="147"/>
      <c r="BZ819" s="147"/>
      <c r="CA819" s="147"/>
      <c r="CB819" s="147"/>
      <c r="CC819" s="147"/>
      <c r="CD819" s="147"/>
      <c r="CE819" s="147"/>
      <c r="CF819" s="147"/>
      <c r="CG819" s="147"/>
      <c r="CH819" s="147"/>
      <c r="CI819" s="147"/>
      <c r="CJ819" s="147"/>
      <c r="CK819" s="147"/>
    </row>
    <row r="820" spans="1:89">
      <c r="A820" s="147"/>
      <c r="B820" s="147"/>
      <c r="C820" s="147"/>
      <c r="D820" s="147"/>
      <c r="E820" s="147"/>
      <c r="F820" s="147"/>
      <c r="G820" s="147"/>
      <c r="H820" s="147"/>
      <c r="I820" s="147"/>
      <c r="J820" s="147"/>
      <c r="K820" s="147"/>
      <c r="L820" s="147"/>
      <c r="M820" s="147"/>
      <c r="N820" s="147"/>
      <c r="O820" s="158"/>
      <c r="P820" s="147"/>
      <c r="Q820" s="147"/>
      <c r="R820" s="147"/>
      <c r="S820" s="147"/>
      <c r="T820" s="147"/>
      <c r="U820" s="147"/>
      <c r="V820" s="147"/>
      <c r="W820" s="147"/>
      <c r="X820" s="147"/>
      <c r="Y820" s="147"/>
      <c r="Z820" s="147"/>
      <c r="AA820" s="147"/>
      <c r="AB820" s="147"/>
      <c r="AC820" s="147"/>
      <c r="AD820" s="147"/>
      <c r="AE820" s="147"/>
      <c r="AF820" s="147"/>
      <c r="AG820" s="147"/>
      <c r="AH820" s="147"/>
      <c r="AI820" s="147"/>
      <c r="AJ820" s="147"/>
      <c r="AK820" s="147"/>
      <c r="AL820" s="147"/>
      <c r="AM820" s="147"/>
      <c r="AN820" s="147"/>
      <c r="AO820" s="147"/>
      <c r="AP820" s="147"/>
      <c r="AQ820" s="147"/>
      <c r="AR820" s="147"/>
      <c r="AS820" s="147"/>
      <c r="AT820" s="147"/>
      <c r="AU820" s="147"/>
      <c r="AV820" s="147"/>
      <c r="AW820" s="147"/>
      <c r="AX820" s="147"/>
      <c r="AY820" s="147"/>
      <c r="AZ820" s="147"/>
      <c r="BA820" s="147"/>
      <c r="BB820" s="147"/>
      <c r="BC820" s="147"/>
      <c r="BD820" s="147"/>
      <c r="BE820" s="147"/>
      <c r="BF820" s="147"/>
      <c r="BG820" s="147"/>
      <c r="BH820" s="147"/>
      <c r="BI820" s="147"/>
      <c r="BJ820" s="147"/>
      <c r="BK820" s="147"/>
      <c r="BL820" s="147"/>
      <c r="BM820" s="147"/>
      <c r="BN820" s="147"/>
      <c r="BO820" s="147"/>
      <c r="BP820" s="147"/>
      <c r="BQ820" s="147"/>
      <c r="BR820" s="147"/>
      <c r="BS820" s="147"/>
      <c r="BT820" s="147"/>
      <c r="BU820" s="147"/>
      <c r="BV820" s="147"/>
      <c r="BW820" s="147"/>
      <c r="BX820" s="147"/>
      <c r="BY820" s="147"/>
      <c r="BZ820" s="147"/>
      <c r="CA820" s="147"/>
      <c r="CB820" s="147"/>
      <c r="CC820" s="147"/>
      <c r="CD820" s="147"/>
      <c r="CE820" s="147"/>
      <c r="CF820" s="147"/>
      <c r="CG820" s="147"/>
      <c r="CH820" s="147"/>
      <c r="CI820" s="147"/>
      <c r="CJ820" s="147"/>
      <c r="CK820" s="147"/>
    </row>
    <row r="821" spans="1:89">
      <c r="A821" s="147"/>
      <c r="B821" s="147"/>
      <c r="C821" s="147"/>
      <c r="D821" s="147"/>
      <c r="E821" s="147"/>
      <c r="F821" s="147"/>
      <c r="G821" s="147"/>
      <c r="H821" s="147"/>
      <c r="I821" s="147"/>
      <c r="J821" s="147"/>
      <c r="K821" s="147"/>
      <c r="L821" s="147"/>
      <c r="M821" s="147"/>
      <c r="N821" s="147"/>
      <c r="O821" s="158"/>
      <c r="P821" s="147"/>
      <c r="Q821" s="147"/>
      <c r="R821" s="147"/>
      <c r="S821" s="147"/>
      <c r="T821" s="147"/>
      <c r="U821" s="147"/>
      <c r="V821" s="147"/>
      <c r="W821" s="147"/>
      <c r="X821" s="147"/>
      <c r="Y821" s="147"/>
      <c r="Z821" s="147"/>
      <c r="AA821" s="147"/>
      <c r="AB821" s="147"/>
      <c r="AC821" s="147"/>
      <c r="AD821" s="147"/>
      <c r="AE821" s="147"/>
      <c r="AF821" s="147"/>
      <c r="AG821" s="147"/>
      <c r="AH821" s="147"/>
      <c r="AI821" s="147"/>
      <c r="AJ821" s="147"/>
      <c r="AK821" s="147"/>
      <c r="AL821" s="147"/>
      <c r="AM821" s="147"/>
      <c r="AN821" s="147"/>
      <c r="AO821" s="147"/>
      <c r="AP821" s="147"/>
      <c r="AQ821" s="147"/>
      <c r="AR821" s="147"/>
      <c r="AS821" s="147"/>
      <c r="AT821" s="147"/>
      <c r="AU821" s="147"/>
      <c r="AV821" s="147"/>
      <c r="AW821" s="147"/>
      <c r="AX821" s="147"/>
      <c r="AY821" s="147"/>
      <c r="AZ821" s="147"/>
      <c r="BA821" s="147"/>
      <c r="BB821" s="147"/>
      <c r="BC821" s="147"/>
      <c r="BD821" s="147"/>
      <c r="BE821" s="147"/>
      <c r="BF821" s="147"/>
      <c r="BG821" s="147"/>
      <c r="BH821" s="147"/>
      <c r="BI821" s="147"/>
      <c r="BJ821" s="147"/>
      <c r="BK821" s="147"/>
      <c r="BL821" s="147"/>
      <c r="BM821" s="147"/>
      <c r="BN821" s="147"/>
      <c r="BO821" s="147"/>
      <c r="BP821" s="147"/>
      <c r="BQ821" s="147"/>
      <c r="BR821" s="147"/>
      <c r="BS821" s="147"/>
      <c r="BT821" s="147"/>
      <c r="BU821" s="147"/>
      <c r="BV821" s="147"/>
      <c r="BW821" s="147"/>
      <c r="BX821" s="147"/>
      <c r="BY821" s="147"/>
      <c r="BZ821" s="147"/>
      <c r="CA821" s="147"/>
      <c r="CB821" s="147"/>
      <c r="CC821" s="147"/>
      <c r="CD821" s="147"/>
      <c r="CE821" s="147"/>
      <c r="CF821" s="147"/>
      <c r="CG821" s="147"/>
      <c r="CH821" s="147"/>
      <c r="CI821" s="147"/>
      <c r="CJ821" s="147"/>
      <c r="CK821" s="147"/>
    </row>
    <row r="822" spans="1:89">
      <c r="A822" s="147"/>
      <c r="B822" s="147"/>
      <c r="C822" s="147"/>
      <c r="D822" s="147"/>
      <c r="E822" s="147"/>
      <c r="F822" s="147"/>
      <c r="G822" s="147"/>
      <c r="H822" s="147"/>
      <c r="I822" s="147"/>
      <c r="J822" s="147"/>
      <c r="K822" s="147"/>
      <c r="L822" s="147"/>
      <c r="M822" s="147"/>
      <c r="N822" s="147"/>
      <c r="O822" s="158"/>
      <c r="P822" s="147"/>
      <c r="Q822" s="147"/>
      <c r="R822" s="147"/>
      <c r="S822" s="147"/>
      <c r="T822" s="147"/>
      <c r="U822" s="147"/>
      <c r="V822" s="147"/>
      <c r="W822" s="147"/>
      <c r="X822" s="147"/>
      <c r="Y822" s="147"/>
      <c r="Z822" s="147"/>
      <c r="AA822" s="147"/>
      <c r="AB822" s="147"/>
      <c r="AC822" s="147"/>
      <c r="AD822" s="147"/>
      <c r="AE822" s="147"/>
      <c r="AF822" s="147"/>
      <c r="AG822" s="147"/>
      <c r="AH822" s="147"/>
      <c r="AI822" s="147"/>
      <c r="AJ822" s="147"/>
      <c r="AK822" s="147"/>
      <c r="AL822" s="147"/>
      <c r="AM822" s="147"/>
      <c r="AN822" s="147"/>
      <c r="AO822" s="147"/>
      <c r="AP822" s="147"/>
      <c r="AQ822" s="147"/>
      <c r="AR822" s="147"/>
      <c r="AS822" s="147"/>
      <c r="AT822" s="147"/>
      <c r="AU822" s="147"/>
      <c r="AV822" s="147"/>
      <c r="AW822" s="147"/>
      <c r="AX822" s="147"/>
      <c r="AY822" s="147"/>
      <c r="AZ822" s="147"/>
      <c r="BA822" s="147"/>
      <c r="BB822" s="147"/>
      <c r="BC822" s="147"/>
      <c r="BD822" s="147"/>
      <c r="BE822" s="147"/>
      <c r="BF822" s="147"/>
      <c r="BG822" s="147"/>
      <c r="BH822" s="147"/>
      <c r="BI822" s="147"/>
      <c r="BJ822" s="147"/>
      <c r="BK822" s="147"/>
      <c r="BL822" s="147"/>
      <c r="BM822" s="147"/>
      <c r="BN822" s="147"/>
      <c r="BO822" s="147"/>
      <c r="BP822" s="147"/>
      <c r="BQ822" s="147"/>
      <c r="BR822" s="147"/>
      <c r="BS822" s="147"/>
      <c r="BT822" s="147"/>
      <c r="BU822" s="147"/>
      <c r="BV822" s="147"/>
      <c r="BW822" s="147"/>
      <c r="BX822" s="147"/>
      <c r="BY822" s="147"/>
      <c r="BZ822" s="147"/>
      <c r="CA822" s="147"/>
      <c r="CB822" s="147"/>
      <c r="CC822" s="147"/>
      <c r="CD822" s="147"/>
      <c r="CE822" s="147"/>
      <c r="CF822" s="147"/>
      <c r="CG822" s="147"/>
      <c r="CH822" s="147"/>
      <c r="CI822" s="147"/>
      <c r="CJ822" s="147"/>
      <c r="CK822" s="147"/>
    </row>
    <row r="823" spans="1:89">
      <c r="A823" s="147"/>
      <c r="B823" s="147"/>
      <c r="C823" s="147"/>
      <c r="D823" s="147"/>
      <c r="E823" s="147"/>
      <c r="F823" s="147"/>
      <c r="G823" s="147"/>
      <c r="H823" s="147"/>
      <c r="I823" s="147"/>
      <c r="J823" s="147"/>
      <c r="K823" s="147"/>
      <c r="L823" s="147"/>
      <c r="M823" s="147"/>
      <c r="N823" s="147"/>
      <c r="O823" s="158"/>
      <c r="P823" s="147"/>
      <c r="Q823" s="147"/>
      <c r="R823" s="147"/>
      <c r="S823" s="147"/>
      <c r="T823" s="147"/>
      <c r="U823" s="147"/>
      <c r="V823" s="147"/>
      <c r="W823" s="147"/>
      <c r="X823" s="147"/>
      <c r="Y823" s="147"/>
      <c r="Z823" s="147"/>
      <c r="AA823" s="147"/>
      <c r="AB823" s="147"/>
      <c r="AC823" s="147"/>
      <c r="AD823" s="147"/>
      <c r="AE823" s="147"/>
      <c r="AF823" s="147"/>
      <c r="AG823" s="147"/>
      <c r="AH823" s="147"/>
      <c r="AI823" s="147"/>
      <c r="AJ823" s="147"/>
      <c r="AK823" s="147"/>
      <c r="AL823" s="147"/>
      <c r="AM823" s="147"/>
      <c r="AN823" s="147"/>
      <c r="AO823" s="147"/>
      <c r="AP823" s="147"/>
      <c r="AQ823" s="147"/>
      <c r="AR823" s="147"/>
      <c r="AS823" s="147"/>
      <c r="AT823" s="147"/>
      <c r="AU823" s="147"/>
      <c r="AV823" s="147"/>
      <c r="AW823" s="147"/>
      <c r="AX823" s="147"/>
      <c r="AY823" s="147"/>
      <c r="AZ823" s="147"/>
      <c r="BA823" s="147"/>
      <c r="BB823" s="147"/>
      <c r="BC823" s="147"/>
      <c r="BD823" s="147"/>
      <c r="BE823" s="147"/>
      <c r="BF823" s="147"/>
      <c r="BG823" s="147"/>
      <c r="BH823" s="147"/>
      <c r="BI823" s="147"/>
      <c r="BJ823" s="147"/>
      <c r="BK823" s="147"/>
      <c r="BL823" s="147"/>
      <c r="BM823" s="147"/>
      <c r="BN823" s="147"/>
      <c r="BO823" s="147"/>
      <c r="BP823" s="147"/>
      <c r="BQ823" s="147"/>
      <c r="BR823" s="147"/>
      <c r="BS823" s="147"/>
      <c r="BT823" s="147"/>
      <c r="BU823" s="147"/>
      <c r="BV823" s="147"/>
      <c r="BW823" s="147"/>
      <c r="BX823" s="147"/>
      <c r="BY823" s="147"/>
      <c r="BZ823" s="147"/>
      <c r="CA823" s="147"/>
      <c r="CB823" s="147"/>
      <c r="CC823" s="147"/>
      <c r="CD823" s="147"/>
      <c r="CE823" s="147"/>
      <c r="CF823" s="147"/>
      <c r="CG823" s="147"/>
      <c r="CH823" s="147"/>
      <c r="CI823" s="147"/>
      <c r="CJ823" s="147"/>
      <c r="CK823" s="147"/>
    </row>
    <row r="824" spans="1:89">
      <c r="A824" s="147"/>
      <c r="B824" s="147"/>
      <c r="C824" s="147"/>
      <c r="D824" s="147"/>
      <c r="E824" s="147"/>
      <c r="F824" s="147"/>
      <c r="G824" s="147"/>
      <c r="H824" s="147"/>
      <c r="I824" s="147"/>
      <c r="J824" s="147"/>
      <c r="K824" s="147"/>
      <c r="L824" s="147"/>
      <c r="M824" s="147"/>
      <c r="N824" s="147"/>
      <c r="O824" s="158"/>
      <c r="P824" s="147"/>
      <c r="Q824" s="147"/>
      <c r="R824" s="147"/>
      <c r="S824" s="147"/>
      <c r="T824" s="147"/>
      <c r="U824" s="147"/>
      <c r="V824" s="147"/>
      <c r="W824" s="147"/>
      <c r="X824" s="147"/>
      <c r="Y824" s="147"/>
      <c r="Z824" s="147"/>
      <c r="AA824" s="147"/>
      <c r="AB824" s="147"/>
      <c r="AC824" s="147"/>
      <c r="AD824" s="147"/>
      <c r="AE824" s="147"/>
      <c r="AF824" s="147"/>
      <c r="AG824" s="147"/>
      <c r="AH824" s="147"/>
      <c r="AI824" s="147"/>
      <c r="AJ824" s="147"/>
      <c r="AK824" s="147"/>
      <c r="AL824" s="147"/>
      <c r="AM824" s="147"/>
      <c r="AN824" s="147"/>
      <c r="AO824" s="147"/>
      <c r="AP824" s="147"/>
      <c r="AQ824" s="147"/>
      <c r="AR824" s="147"/>
      <c r="AS824" s="147"/>
      <c r="AT824" s="147"/>
      <c r="AU824" s="147"/>
      <c r="AV824" s="147"/>
      <c r="AW824" s="147"/>
      <c r="AX824" s="147"/>
      <c r="AY824" s="147"/>
      <c r="AZ824" s="147"/>
      <c r="BA824" s="147"/>
      <c r="BB824" s="147"/>
      <c r="BC824" s="147"/>
      <c r="BD824" s="147"/>
      <c r="BE824" s="147"/>
      <c r="BF824" s="147"/>
      <c r="BG824" s="147"/>
      <c r="BH824" s="147"/>
      <c r="BI824" s="147"/>
      <c r="BJ824" s="147"/>
      <c r="BK824" s="147"/>
      <c r="BL824" s="147"/>
      <c r="BM824" s="147"/>
      <c r="BN824" s="147"/>
      <c r="BO824" s="147"/>
      <c r="BP824" s="147"/>
      <c r="BQ824" s="147"/>
      <c r="BR824" s="147"/>
      <c r="BS824" s="147"/>
      <c r="BT824" s="147"/>
      <c r="BU824" s="147"/>
      <c r="BV824" s="147"/>
      <c r="BW824" s="147"/>
      <c r="BX824" s="147"/>
      <c r="BY824" s="147"/>
      <c r="BZ824" s="147"/>
      <c r="CA824" s="147"/>
      <c r="CB824" s="147"/>
      <c r="CC824" s="147"/>
      <c r="CD824" s="147"/>
      <c r="CE824" s="147"/>
      <c r="CF824" s="147"/>
      <c r="CG824" s="147"/>
      <c r="CH824" s="147"/>
      <c r="CI824" s="147"/>
      <c r="CJ824" s="147"/>
      <c r="CK824" s="147"/>
    </row>
    <row r="825" spans="1:89">
      <c r="A825" s="147"/>
      <c r="B825" s="147"/>
      <c r="C825" s="147"/>
      <c r="D825" s="147"/>
      <c r="E825" s="147"/>
      <c r="F825" s="147"/>
      <c r="G825" s="147"/>
      <c r="H825" s="147"/>
      <c r="I825" s="147"/>
      <c r="J825" s="147"/>
      <c r="K825" s="147"/>
      <c r="L825" s="147"/>
      <c r="M825" s="147"/>
      <c r="N825" s="147"/>
      <c r="O825" s="158"/>
      <c r="P825" s="147"/>
      <c r="Q825" s="147"/>
      <c r="R825" s="147"/>
      <c r="S825" s="147"/>
      <c r="T825" s="147"/>
      <c r="U825" s="147"/>
      <c r="V825" s="147"/>
      <c r="W825" s="147"/>
      <c r="X825" s="147"/>
      <c r="Y825" s="147"/>
      <c r="Z825" s="147"/>
      <c r="AA825" s="147"/>
      <c r="AB825" s="147"/>
      <c r="AC825" s="147"/>
      <c r="AD825" s="147"/>
      <c r="AE825" s="147"/>
      <c r="AF825" s="147"/>
      <c r="AG825" s="147"/>
      <c r="AH825" s="147"/>
      <c r="AI825" s="147"/>
      <c r="AJ825" s="147"/>
      <c r="AK825" s="147"/>
      <c r="AL825" s="147"/>
      <c r="AM825" s="147"/>
      <c r="AN825" s="147"/>
      <c r="AO825" s="147"/>
      <c r="AP825" s="147"/>
      <c r="AQ825" s="147"/>
      <c r="AR825" s="147"/>
      <c r="AS825" s="147"/>
      <c r="AT825" s="147"/>
      <c r="AU825" s="147"/>
      <c r="AV825" s="147"/>
      <c r="AW825" s="147"/>
      <c r="AX825" s="147"/>
      <c r="AY825" s="147"/>
      <c r="AZ825" s="147"/>
      <c r="BA825" s="147"/>
      <c r="BB825" s="147"/>
      <c r="BC825" s="147"/>
      <c r="BD825" s="147"/>
      <c r="BE825" s="147"/>
      <c r="BF825" s="147"/>
      <c r="BG825" s="147"/>
      <c r="BH825" s="147"/>
      <c r="BI825" s="147"/>
      <c r="BJ825" s="147"/>
      <c r="BK825" s="147"/>
      <c r="BL825" s="147"/>
      <c r="BM825" s="147"/>
      <c r="BN825" s="147"/>
      <c r="BO825" s="147"/>
      <c r="BP825" s="147"/>
      <c r="BQ825" s="147"/>
      <c r="BR825" s="147"/>
      <c r="BS825" s="147"/>
      <c r="BT825" s="147"/>
      <c r="BU825" s="147"/>
      <c r="BV825" s="147"/>
      <c r="BW825" s="147"/>
      <c r="BX825" s="147"/>
      <c r="BY825" s="147"/>
      <c r="BZ825" s="147"/>
      <c r="CA825" s="147"/>
      <c r="CB825" s="147"/>
      <c r="CC825" s="147"/>
      <c r="CD825" s="147"/>
      <c r="CE825" s="147"/>
      <c r="CF825" s="147"/>
      <c r="CG825" s="147"/>
      <c r="CH825" s="147"/>
      <c r="CI825" s="147"/>
      <c r="CJ825" s="147"/>
      <c r="CK825" s="147"/>
    </row>
    <row r="826" spans="1:89">
      <c r="A826" s="147"/>
      <c r="B826" s="147"/>
      <c r="C826" s="147"/>
      <c r="D826" s="147"/>
      <c r="E826" s="147"/>
      <c r="F826" s="147"/>
      <c r="G826" s="147"/>
      <c r="H826" s="147"/>
      <c r="I826" s="147"/>
      <c r="J826" s="147"/>
      <c r="K826" s="147"/>
      <c r="L826" s="147"/>
      <c r="M826" s="147"/>
      <c r="N826" s="147"/>
      <c r="O826" s="158"/>
      <c r="P826" s="147"/>
      <c r="Q826" s="147"/>
      <c r="R826" s="147"/>
      <c r="S826" s="147"/>
      <c r="T826" s="147"/>
      <c r="U826" s="147"/>
      <c r="V826" s="147"/>
      <c r="W826" s="147"/>
      <c r="X826" s="147"/>
      <c r="Y826" s="147"/>
      <c r="Z826" s="147"/>
      <c r="AA826" s="147"/>
      <c r="AB826" s="147"/>
      <c r="AC826" s="147"/>
      <c r="AD826" s="147"/>
      <c r="AE826" s="147"/>
      <c r="AF826" s="147"/>
      <c r="AG826" s="147"/>
      <c r="AH826" s="147"/>
      <c r="AI826" s="147"/>
      <c r="AJ826" s="147"/>
      <c r="AK826" s="147"/>
      <c r="AL826" s="147"/>
      <c r="AM826" s="147"/>
      <c r="AN826" s="147"/>
      <c r="AO826" s="147"/>
      <c r="AP826" s="147"/>
      <c r="AQ826" s="147"/>
      <c r="AR826" s="147"/>
      <c r="AS826" s="147"/>
      <c r="AT826" s="147"/>
      <c r="AU826" s="147"/>
      <c r="AV826" s="147"/>
      <c r="AW826" s="147"/>
      <c r="AX826" s="147"/>
      <c r="AY826" s="147"/>
      <c r="AZ826" s="147"/>
      <c r="BA826" s="147"/>
      <c r="BB826" s="147"/>
      <c r="BC826" s="147"/>
      <c r="BD826" s="147"/>
      <c r="BE826" s="147"/>
      <c r="BF826" s="147"/>
      <c r="BG826" s="147"/>
      <c r="BH826" s="147"/>
      <c r="BI826" s="147"/>
      <c r="BJ826" s="147"/>
      <c r="BK826" s="147"/>
      <c r="BL826" s="147"/>
      <c r="BM826" s="147"/>
      <c r="BN826" s="147"/>
      <c r="BO826" s="147"/>
      <c r="BP826" s="147"/>
      <c r="BQ826" s="147"/>
      <c r="BR826" s="147"/>
      <c r="BS826" s="147"/>
      <c r="BT826" s="147"/>
      <c r="BU826" s="147"/>
      <c r="BV826" s="147"/>
      <c r="BW826" s="147"/>
      <c r="BX826" s="147"/>
      <c r="BY826" s="147"/>
      <c r="BZ826" s="147"/>
      <c r="CA826" s="147"/>
      <c r="CB826" s="147"/>
      <c r="CC826" s="147"/>
      <c r="CD826" s="147"/>
      <c r="CE826" s="147"/>
      <c r="CF826" s="147"/>
      <c r="CG826" s="147"/>
      <c r="CH826" s="147"/>
      <c r="CI826" s="147"/>
      <c r="CJ826" s="147"/>
      <c r="CK826" s="147"/>
    </row>
    <row r="827" spans="1:89">
      <c r="A827" s="147"/>
      <c r="B827" s="147"/>
      <c r="C827" s="147"/>
      <c r="D827" s="147"/>
      <c r="E827" s="147"/>
      <c r="F827" s="147"/>
      <c r="G827" s="147"/>
      <c r="H827" s="147"/>
      <c r="I827" s="147"/>
      <c r="J827" s="147"/>
      <c r="K827" s="147"/>
      <c r="L827" s="147"/>
      <c r="M827" s="147"/>
      <c r="N827" s="147"/>
      <c r="O827" s="158"/>
      <c r="P827" s="147"/>
      <c r="Q827" s="147"/>
      <c r="R827" s="147"/>
      <c r="S827" s="147"/>
      <c r="T827" s="147"/>
      <c r="U827" s="147"/>
      <c r="V827" s="147"/>
      <c r="W827" s="147"/>
      <c r="X827" s="147"/>
      <c r="Y827" s="147"/>
      <c r="Z827" s="147"/>
      <c r="AA827" s="147"/>
      <c r="AB827" s="147"/>
      <c r="AC827" s="147"/>
      <c r="AD827" s="147"/>
      <c r="AE827" s="147"/>
      <c r="AF827" s="147"/>
      <c r="AG827" s="147"/>
      <c r="AH827" s="147"/>
      <c r="AI827" s="147"/>
      <c r="AJ827" s="147"/>
      <c r="AK827" s="147"/>
      <c r="AL827" s="147"/>
      <c r="AM827" s="147"/>
      <c r="AN827" s="147"/>
      <c r="AO827" s="147"/>
      <c r="AP827" s="147"/>
      <c r="AQ827" s="147"/>
      <c r="AR827" s="147"/>
      <c r="AS827" s="147"/>
      <c r="AT827" s="147"/>
      <c r="AU827" s="147"/>
      <c r="AV827" s="147"/>
      <c r="AW827" s="147"/>
      <c r="AX827" s="147"/>
      <c r="AY827" s="147"/>
      <c r="AZ827" s="147"/>
      <c r="BA827" s="147"/>
      <c r="BB827" s="147"/>
      <c r="BC827" s="147"/>
      <c r="BD827" s="147"/>
      <c r="BE827" s="147"/>
      <c r="BF827" s="147"/>
      <c r="BG827" s="147"/>
      <c r="BH827" s="147"/>
      <c r="BI827" s="147"/>
      <c r="BJ827" s="147"/>
      <c r="BK827" s="147"/>
      <c r="BL827" s="147"/>
      <c r="BM827" s="147"/>
      <c r="BN827" s="147"/>
      <c r="BO827" s="147"/>
      <c r="BP827" s="147"/>
      <c r="BQ827" s="147"/>
      <c r="BR827" s="147"/>
      <c r="BS827" s="147"/>
      <c r="BT827" s="147"/>
      <c r="BU827" s="147"/>
      <c r="BV827" s="147"/>
      <c r="BW827" s="147"/>
      <c r="BX827" s="147"/>
      <c r="BY827" s="147"/>
      <c r="BZ827" s="147"/>
      <c r="CA827" s="147"/>
      <c r="CB827" s="147"/>
      <c r="CC827" s="147"/>
      <c r="CD827" s="147"/>
      <c r="CE827" s="147"/>
      <c r="CF827" s="147"/>
      <c r="CG827" s="147"/>
      <c r="CH827" s="147"/>
      <c r="CI827" s="147"/>
      <c r="CJ827" s="147"/>
      <c r="CK827" s="147"/>
    </row>
    <row r="828" spans="1:89">
      <c r="A828" s="147"/>
      <c r="B828" s="147"/>
      <c r="C828" s="147"/>
      <c r="D828" s="147"/>
      <c r="E828" s="147"/>
      <c r="F828" s="147"/>
      <c r="G828" s="147"/>
      <c r="H828" s="147"/>
      <c r="I828" s="147"/>
      <c r="J828" s="147"/>
      <c r="K828" s="147"/>
      <c r="L828" s="147"/>
      <c r="M828" s="147"/>
      <c r="N828" s="147"/>
      <c r="O828" s="158"/>
      <c r="P828" s="147"/>
      <c r="Q828" s="147"/>
      <c r="R828" s="147"/>
      <c r="S828" s="147"/>
      <c r="T828" s="147"/>
      <c r="U828" s="147"/>
      <c r="V828" s="147"/>
      <c r="W828" s="147"/>
      <c r="X828" s="147"/>
      <c r="Y828" s="147"/>
      <c r="Z828" s="147"/>
      <c r="AA828" s="147"/>
      <c r="AB828" s="147"/>
      <c r="AC828" s="147"/>
      <c r="AD828" s="147"/>
      <c r="AE828" s="147"/>
      <c r="AF828" s="147"/>
      <c r="AG828" s="147"/>
      <c r="AH828" s="147"/>
      <c r="AI828" s="147"/>
      <c r="AJ828" s="147"/>
      <c r="AK828" s="147"/>
      <c r="AL828" s="147"/>
      <c r="AM828" s="147"/>
      <c r="AN828" s="147"/>
      <c r="AO828" s="147"/>
      <c r="AP828" s="147"/>
      <c r="AQ828" s="147"/>
      <c r="AR828" s="147"/>
      <c r="AS828" s="147"/>
      <c r="AT828" s="147"/>
      <c r="AU828" s="147"/>
      <c r="AV828" s="147"/>
      <c r="AW828" s="147"/>
      <c r="AX828" s="147"/>
      <c r="AY828" s="147"/>
      <c r="AZ828" s="147"/>
      <c r="BA828" s="147"/>
      <c r="BB828" s="147"/>
      <c r="BC828" s="147"/>
      <c r="BD828" s="147"/>
      <c r="BE828" s="147"/>
      <c r="BF828" s="147"/>
      <c r="BG828" s="147"/>
      <c r="BH828" s="147"/>
      <c r="BI828" s="147"/>
      <c r="BJ828" s="147"/>
      <c r="BK828" s="147"/>
      <c r="BL828" s="147"/>
      <c r="BM828" s="147"/>
      <c r="BN828" s="147"/>
      <c r="BO828" s="147"/>
      <c r="BP828" s="147"/>
      <c r="BQ828" s="147"/>
      <c r="BR828" s="147"/>
      <c r="BS828" s="147"/>
      <c r="BT828" s="147"/>
      <c r="BU828" s="147"/>
      <c r="BV828" s="147"/>
      <c r="BW828" s="147"/>
      <c r="BX828" s="147"/>
      <c r="BY828" s="147"/>
      <c r="BZ828" s="147"/>
      <c r="CA828" s="147"/>
      <c r="CB828" s="147"/>
      <c r="CC828" s="147"/>
      <c r="CD828" s="147"/>
      <c r="CE828" s="147"/>
      <c r="CF828" s="147"/>
      <c r="CG828" s="147"/>
      <c r="CH828" s="147"/>
      <c r="CI828" s="147"/>
      <c r="CJ828" s="147"/>
      <c r="CK828" s="147"/>
    </row>
    <row r="829" spans="1:89">
      <c r="A829" s="147"/>
      <c r="B829" s="147"/>
      <c r="C829" s="147"/>
      <c r="D829" s="147"/>
      <c r="E829" s="147"/>
      <c r="F829" s="147"/>
      <c r="G829" s="147"/>
      <c r="H829" s="147"/>
      <c r="I829" s="147"/>
      <c r="J829" s="147"/>
      <c r="K829" s="147"/>
      <c r="L829" s="147"/>
      <c r="M829" s="147"/>
      <c r="N829" s="147"/>
      <c r="O829" s="158"/>
      <c r="P829" s="147"/>
      <c r="Q829" s="147"/>
      <c r="R829" s="147"/>
      <c r="S829" s="147"/>
      <c r="T829" s="147"/>
      <c r="U829" s="147"/>
      <c r="V829" s="147"/>
      <c r="W829" s="147"/>
      <c r="X829" s="147"/>
      <c r="Y829" s="147"/>
      <c r="Z829" s="147"/>
      <c r="AA829" s="147"/>
      <c r="AB829" s="147"/>
      <c r="AC829" s="147"/>
      <c r="AD829" s="147"/>
      <c r="AE829" s="147"/>
      <c r="AF829" s="147"/>
      <c r="AG829" s="147"/>
      <c r="AH829" s="147"/>
      <c r="AI829" s="147"/>
      <c r="AJ829" s="147"/>
      <c r="AK829" s="147"/>
      <c r="AL829" s="147"/>
      <c r="AM829" s="147"/>
      <c r="AN829" s="147"/>
      <c r="AO829" s="147"/>
      <c r="AP829" s="147"/>
      <c r="AQ829" s="147"/>
      <c r="AR829" s="147"/>
      <c r="AS829" s="147"/>
      <c r="AT829" s="147"/>
      <c r="AU829" s="147"/>
      <c r="AV829" s="147"/>
      <c r="AW829" s="147"/>
      <c r="AX829" s="147"/>
      <c r="AY829" s="147"/>
      <c r="AZ829" s="147"/>
      <c r="BA829" s="147"/>
      <c r="BB829" s="147"/>
      <c r="BC829" s="147"/>
      <c r="BD829" s="147"/>
      <c r="BE829" s="147"/>
      <c r="BF829" s="147"/>
      <c r="BG829" s="147"/>
      <c r="BH829" s="147"/>
      <c r="BI829" s="147"/>
      <c r="BJ829" s="147"/>
      <c r="BK829" s="147"/>
      <c r="BL829" s="147"/>
      <c r="BM829" s="147"/>
      <c r="BN829" s="147"/>
      <c r="BO829" s="147"/>
      <c r="BP829" s="147"/>
      <c r="BQ829" s="147"/>
      <c r="BR829" s="147"/>
      <c r="BS829" s="147"/>
      <c r="BT829" s="147"/>
      <c r="BU829" s="147"/>
      <c r="BV829" s="147"/>
      <c r="BW829" s="147"/>
      <c r="BX829" s="147"/>
      <c r="BY829" s="147"/>
      <c r="BZ829" s="147"/>
      <c r="CA829" s="147"/>
      <c r="CB829" s="147"/>
      <c r="CC829" s="147"/>
      <c r="CD829" s="147"/>
      <c r="CE829" s="147"/>
      <c r="CF829" s="147"/>
      <c r="CG829" s="147"/>
      <c r="CH829" s="147"/>
      <c r="CI829" s="147"/>
      <c r="CJ829" s="147"/>
      <c r="CK829" s="147"/>
    </row>
    <row r="830" spans="1:89">
      <c r="A830" s="147"/>
      <c r="B830" s="147"/>
      <c r="C830" s="147"/>
      <c r="D830" s="147"/>
      <c r="E830" s="147"/>
      <c r="F830" s="147"/>
      <c r="G830" s="147"/>
      <c r="H830" s="147"/>
      <c r="I830" s="147"/>
      <c r="J830" s="147"/>
      <c r="K830" s="147"/>
      <c r="L830" s="147"/>
      <c r="M830" s="147"/>
      <c r="N830" s="147"/>
      <c r="O830" s="158"/>
      <c r="P830" s="147"/>
      <c r="Q830" s="147"/>
      <c r="R830" s="147"/>
      <c r="S830" s="147"/>
      <c r="T830" s="147"/>
      <c r="U830" s="147"/>
      <c r="V830" s="147"/>
      <c r="W830" s="147"/>
      <c r="X830" s="147"/>
      <c r="Y830" s="147"/>
      <c r="Z830" s="147"/>
      <c r="AA830" s="147"/>
      <c r="AB830" s="147"/>
      <c r="AC830" s="147"/>
      <c r="AD830" s="147"/>
      <c r="AE830" s="147"/>
      <c r="AF830" s="147"/>
      <c r="AG830" s="147"/>
      <c r="AH830" s="147"/>
      <c r="AI830" s="147"/>
      <c r="AJ830" s="147"/>
      <c r="AK830" s="147"/>
      <c r="AL830" s="147"/>
      <c r="AM830" s="147"/>
      <c r="AN830" s="147"/>
      <c r="AO830" s="147"/>
      <c r="AP830" s="147"/>
      <c r="AQ830" s="147"/>
      <c r="AR830" s="147"/>
      <c r="AS830" s="147"/>
      <c r="AT830" s="147"/>
      <c r="AU830" s="147"/>
      <c r="AV830" s="147"/>
      <c r="AW830" s="147"/>
      <c r="AX830" s="147"/>
      <c r="AY830" s="147"/>
      <c r="AZ830" s="147"/>
      <c r="BA830" s="147"/>
      <c r="BB830" s="147"/>
      <c r="BC830" s="147"/>
      <c r="BD830" s="147"/>
      <c r="BE830" s="147"/>
      <c r="BF830" s="147"/>
      <c r="BG830" s="147"/>
      <c r="BH830" s="147"/>
      <c r="BI830" s="147"/>
      <c r="BJ830" s="147"/>
      <c r="BK830" s="147"/>
      <c r="BL830" s="147"/>
      <c r="BM830" s="147"/>
      <c r="BN830" s="147"/>
      <c r="BO830" s="147"/>
      <c r="BP830" s="147"/>
      <c r="BQ830" s="147"/>
      <c r="BR830" s="147"/>
      <c r="BS830" s="147"/>
      <c r="BT830" s="147"/>
      <c r="BU830" s="147"/>
      <c r="BV830" s="147"/>
      <c r="BW830" s="147"/>
      <c r="BX830" s="147"/>
      <c r="BY830" s="147"/>
      <c r="BZ830" s="147"/>
      <c r="CA830" s="147"/>
      <c r="CB830" s="147"/>
      <c r="CC830" s="147"/>
      <c r="CD830" s="147"/>
      <c r="CE830" s="147"/>
      <c r="CF830" s="147"/>
      <c r="CG830" s="147"/>
      <c r="CH830" s="147"/>
      <c r="CI830" s="147"/>
      <c r="CJ830" s="147"/>
      <c r="CK830" s="147"/>
    </row>
    <row r="831" spans="1:89">
      <c r="A831" s="147"/>
      <c r="B831" s="147"/>
      <c r="C831" s="147"/>
      <c r="D831" s="147"/>
      <c r="E831" s="147"/>
      <c r="F831" s="147"/>
      <c r="G831" s="147"/>
      <c r="H831" s="147"/>
      <c r="I831" s="147"/>
      <c r="J831" s="147"/>
      <c r="K831" s="147"/>
      <c r="L831" s="147"/>
      <c r="M831" s="147"/>
      <c r="N831" s="147"/>
      <c r="O831" s="158"/>
      <c r="P831" s="147"/>
      <c r="Q831" s="147"/>
      <c r="R831" s="147"/>
      <c r="S831" s="147"/>
      <c r="T831" s="147"/>
      <c r="U831" s="147"/>
      <c r="V831" s="147"/>
      <c r="W831" s="147"/>
      <c r="X831" s="147"/>
      <c r="Y831" s="147"/>
      <c r="Z831" s="147"/>
      <c r="AA831" s="147"/>
      <c r="AB831" s="147"/>
      <c r="AC831" s="147"/>
      <c r="AD831" s="147"/>
      <c r="AE831" s="147"/>
      <c r="AF831" s="147"/>
      <c r="AG831" s="147"/>
      <c r="AH831" s="147"/>
      <c r="AI831" s="147"/>
      <c r="AJ831" s="147"/>
      <c r="AK831" s="147"/>
      <c r="AL831" s="147"/>
      <c r="AM831" s="147"/>
      <c r="AN831" s="147"/>
      <c r="AO831" s="147"/>
      <c r="AP831" s="147"/>
      <c r="AQ831" s="147"/>
      <c r="AR831" s="147"/>
      <c r="AS831" s="147"/>
      <c r="AT831" s="147"/>
      <c r="AU831" s="147"/>
      <c r="AV831" s="147"/>
      <c r="AW831" s="147"/>
      <c r="AX831" s="147"/>
      <c r="AY831" s="147"/>
      <c r="AZ831" s="147"/>
      <c r="BA831" s="147"/>
      <c r="BB831" s="147"/>
      <c r="BC831" s="147"/>
      <c r="BD831" s="147"/>
      <c r="BE831" s="147"/>
      <c r="BF831" s="147"/>
      <c r="BG831" s="147"/>
      <c r="BH831" s="147"/>
      <c r="BI831" s="147"/>
      <c r="BJ831" s="147"/>
      <c r="BK831" s="147"/>
      <c r="BL831" s="147"/>
      <c r="BM831" s="147"/>
      <c r="BN831" s="147"/>
      <c r="BO831" s="147"/>
      <c r="BP831" s="147"/>
      <c r="BQ831" s="147"/>
      <c r="BR831" s="147"/>
      <c r="BS831" s="147"/>
      <c r="BT831" s="147"/>
      <c r="BU831" s="147"/>
      <c r="BV831" s="147"/>
      <c r="BW831" s="147"/>
      <c r="BX831" s="147"/>
      <c r="BY831" s="147"/>
      <c r="BZ831" s="147"/>
      <c r="CA831" s="147"/>
      <c r="CB831" s="147"/>
      <c r="CC831" s="147"/>
      <c r="CD831" s="147"/>
      <c r="CE831" s="147"/>
      <c r="CF831" s="147"/>
      <c r="CG831" s="147"/>
      <c r="CH831" s="147"/>
      <c r="CI831" s="147"/>
      <c r="CJ831" s="147"/>
      <c r="CK831" s="147"/>
    </row>
    <row r="832" spans="1:89">
      <c r="A832" s="147"/>
      <c r="B832" s="147"/>
      <c r="C832" s="147"/>
      <c r="D832" s="147"/>
      <c r="E832" s="147"/>
      <c r="F832" s="147"/>
      <c r="G832" s="147"/>
      <c r="H832" s="147"/>
      <c r="I832" s="147"/>
      <c r="J832" s="147"/>
      <c r="K832" s="147"/>
      <c r="L832" s="147"/>
      <c r="M832" s="147"/>
      <c r="N832" s="147"/>
      <c r="O832" s="158"/>
      <c r="P832" s="147"/>
      <c r="Q832" s="147"/>
      <c r="R832" s="147"/>
      <c r="S832" s="147"/>
      <c r="T832" s="147"/>
      <c r="U832" s="147"/>
      <c r="V832" s="147"/>
      <c r="W832" s="147"/>
      <c r="X832" s="147"/>
      <c r="Y832" s="147"/>
      <c r="Z832" s="147"/>
      <c r="AA832" s="147"/>
      <c r="AB832" s="147"/>
      <c r="AC832" s="147"/>
      <c r="AD832" s="147"/>
      <c r="AE832" s="147"/>
      <c r="AF832" s="147"/>
      <c r="AG832" s="147"/>
      <c r="AH832" s="147"/>
      <c r="AI832" s="147"/>
      <c r="AJ832" s="147"/>
      <c r="AK832" s="147"/>
      <c r="AL832" s="147"/>
      <c r="AM832" s="147"/>
      <c r="AN832" s="147"/>
      <c r="AO832" s="147"/>
      <c r="AP832" s="147"/>
      <c r="AQ832" s="147"/>
      <c r="AR832" s="147"/>
      <c r="AS832" s="147"/>
      <c r="AT832" s="147"/>
      <c r="AU832" s="147"/>
      <c r="AV832" s="147"/>
      <c r="AW832" s="147"/>
      <c r="AX832" s="147"/>
      <c r="AY832" s="147"/>
      <c r="AZ832" s="147"/>
      <c r="BA832" s="147"/>
      <c r="BB832" s="147"/>
      <c r="BC832" s="147"/>
      <c r="BD832" s="147"/>
      <c r="BE832" s="147"/>
      <c r="BF832" s="147"/>
      <c r="BG832" s="147"/>
      <c r="BH832" s="147"/>
      <c r="BI832" s="147"/>
      <c r="BJ832" s="147"/>
      <c r="BK832" s="147"/>
      <c r="BL832" s="147"/>
      <c r="BM832" s="147"/>
      <c r="BN832" s="147"/>
      <c r="BO832" s="147"/>
      <c r="BP832" s="147"/>
      <c r="BQ832" s="147"/>
      <c r="BR832" s="147"/>
      <c r="BS832" s="147"/>
      <c r="BT832" s="147"/>
      <c r="BU832" s="147"/>
      <c r="BV832" s="147"/>
      <c r="BW832" s="147"/>
      <c r="BX832" s="147"/>
      <c r="BY832" s="147"/>
      <c r="BZ832" s="147"/>
      <c r="CA832" s="147"/>
      <c r="CB832" s="147"/>
      <c r="CC832" s="147"/>
      <c r="CD832" s="147"/>
      <c r="CE832" s="147"/>
      <c r="CF832" s="147"/>
      <c r="CG832" s="147"/>
      <c r="CH832" s="147"/>
      <c r="CI832" s="147"/>
      <c r="CJ832" s="147"/>
      <c r="CK832" s="147"/>
    </row>
    <row r="833" spans="1:89">
      <c r="A833" s="147"/>
      <c r="B833" s="147"/>
      <c r="C833" s="147"/>
      <c r="D833" s="147"/>
      <c r="E833" s="147"/>
      <c r="F833" s="147"/>
      <c r="G833" s="147"/>
      <c r="H833" s="147"/>
      <c r="I833" s="147"/>
      <c r="J833" s="147"/>
      <c r="K833" s="147"/>
      <c r="L833" s="147"/>
      <c r="M833" s="147"/>
      <c r="N833" s="147"/>
      <c r="O833" s="158"/>
      <c r="P833" s="147"/>
      <c r="Q833" s="147"/>
      <c r="R833" s="147"/>
      <c r="S833" s="147"/>
      <c r="T833" s="147"/>
      <c r="U833" s="147"/>
      <c r="V833" s="147"/>
      <c r="W833" s="147"/>
      <c r="X833" s="147"/>
      <c r="Y833" s="147"/>
      <c r="Z833" s="147"/>
      <c r="AA833" s="147"/>
      <c r="AB833" s="147"/>
      <c r="AC833" s="147"/>
      <c r="AD833" s="147"/>
      <c r="AE833" s="147"/>
      <c r="AF833" s="147"/>
      <c r="AG833" s="147"/>
      <c r="AH833" s="147"/>
      <c r="AI833" s="147"/>
      <c r="AJ833" s="147"/>
      <c r="AK833" s="147"/>
      <c r="AL833" s="147"/>
      <c r="AM833" s="147"/>
      <c r="AN833" s="147"/>
      <c r="AO833" s="147"/>
      <c r="AP833" s="147"/>
      <c r="AQ833" s="147"/>
      <c r="AR833" s="147"/>
      <c r="AS833" s="147"/>
      <c r="AT833" s="147"/>
      <c r="AU833" s="147"/>
      <c r="AV833" s="147"/>
      <c r="AW833" s="147"/>
      <c r="AX833" s="147"/>
      <c r="AY833" s="147"/>
      <c r="AZ833" s="147"/>
      <c r="BA833" s="147"/>
      <c r="BB833" s="147"/>
      <c r="BC833" s="147"/>
      <c r="BD833" s="147"/>
      <c r="BE833" s="147"/>
      <c r="BF833" s="147"/>
      <c r="BG833" s="147"/>
      <c r="BH833" s="147"/>
      <c r="BI833" s="147"/>
      <c r="BJ833" s="147"/>
      <c r="BK833" s="147"/>
      <c r="BL833" s="147"/>
      <c r="BM833" s="147"/>
      <c r="BN833" s="147"/>
      <c r="BO833" s="147"/>
      <c r="BP833" s="147"/>
      <c r="BQ833" s="147"/>
      <c r="BR833" s="147"/>
      <c r="BS833" s="147"/>
      <c r="BT833" s="147"/>
      <c r="BU833" s="147"/>
      <c r="BV833" s="147"/>
      <c r="BW833" s="147"/>
      <c r="BX833" s="147"/>
      <c r="BY833" s="147"/>
      <c r="BZ833" s="147"/>
      <c r="CA833" s="147"/>
      <c r="CB833" s="147"/>
      <c r="CC833" s="147"/>
      <c r="CD833" s="147"/>
      <c r="CE833" s="147"/>
      <c r="CF833" s="147"/>
      <c r="CG833" s="147"/>
      <c r="CH833" s="147"/>
      <c r="CI833" s="147"/>
      <c r="CJ833" s="147"/>
      <c r="CK833" s="147"/>
    </row>
    <row r="834" spans="1:89">
      <c r="A834" s="147"/>
      <c r="B834" s="147"/>
      <c r="C834" s="147"/>
      <c r="D834" s="147"/>
      <c r="E834" s="147"/>
      <c r="F834" s="147"/>
      <c r="G834" s="147"/>
      <c r="H834" s="147"/>
      <c r="I834" s="147"/>
      <c r="J834" s="147"/>
      <c r="K834" s="147"/>
      <c r="L834" s="147"/>
      <c r="M834" s="147"/>
      <c r="N834" s="147"/>
      <c r="O834" s="158"/>
      <c r="P834" s="147"/>
      <c r="Q834" s="147"/>
      <c r="R834" s="147"/>
      <c r="S834" s="147"/>
      <c r="T834" s="147"/>
      <c r="U834" s="147"/>
      <c r="V834" s="147"/>
      <c r="W834" s="147"/>
      <c r="X834" s="147"/>
      <c r="Y834" s="147"/>
      <c r="Z834" s="147"/>
      <c r="AA834" s="147"/>
      <c r="AB834" s="147"/>
      <c r="AC834" s="147"/>
      <c r="AD834" s="147"/>
      <c r="AE834" s="147"/>
      <c r="AF834" s="147"/>
      <c r="AG834" s="147"/>
      <c r="AH834" s="147"/>
      <c r="AI834" s="147"/>
      <c r="AJ834" s="147"/>
      <c r="AK834" s="147"/>
      <c r="AL834" s="147"/>
      <c r="AM834" s="147"/>
      <c r="AN834" s="147"/>
      <c r="AO834" s="147"/>
      <c r="AP834" s="147"/>
      <c r="AQ834" s="147"/>
      <c r="AR834" s="147"/>
      <c r="AS834" s="147"/>
      <c r="AT834" s="147"/>
      <c r="AU834" s="147"/>
      <c r="AV834" s="147"/>
      <c r="AW834" s="147"/>
      <c r="AX834" s="147"/>
      <c r="AY834" s="147"/>
      <c r="AZ834" s="147"/>
      <c r="BA834" s="147"/>
      <c r="BB834" s="147"/>
      <c r="BC834" s="147"/>
      <c r="BD834" s="147"/>
      <c r="BE834" s="147"/>
      <c r="BF834" s="147"/>
      <c r="BG834" s="147"/>
      <c r="BH834" s="147"/>
      <c r="BI834" s="147"/>
      <c r="BJ834" s="147"/>
      <c r="BK834" s="147"/>
      <c r="BL834" s="147"/>
      <c r="BM834" s="147"/>
      <c r="BN834" s="147"/>
      <c r="BO834" s="147"/>
      <c r="BP834" s="147"/>
      <c r="BQ834" s="147"/>
      <c r="BR834" s="147"/>
      <c r="BS834" s="147"/>
      <c r="BT834" s="147"/>
      <c r="BU834" s="147"/>
      <c r="BV834" s="147"/>
      <c r="BW834" s="147"/>
      <c r="BX834" s="147"/>
      <c r="BY834" s="147"/>
      <c r="BZ834" s="147"/>
      <c r="CA834" s="147"/>
      <c r="CB834" s="147"/>
      <c r="CC834" s="147"/>
      <c r="CD834" s="147"/>
      <c r="CE834" s="147"/>
      <c r="CF834" s="147"/>
      <c r="CG834" s="147"/>
      <c r="CH834" s="147"/>
      <c r="CI834" s="147"/>
      <c r="CJ834" s="147"/>
      <c r="CK834" s="147"/>
    </row>
    <row r="835" spans="1:89">
      <c r="A835" s="147"/>
      <c r="B835" s="147"/>
      <c r="C835" s="147"/>
      <c r="D835" s="147"/>
      <c r="E835" s="147"/>
      <c r="F835" s="147"/>
      <c r="G835" s="147"/>
      <c r="H835" s="147"/>
      <c r="I835" s="147"/>
      <c r="J835" s="147"/>
      <c r="K835" s="147"/>
      <c r="L835" s="147"/>
      <c r="M835" s="147"/>
      <c r="N835" s="147"/>
      <c r="O835" s="158"/>
      <c r="P835" s="147"/>
      <c r="Q835" s="147"/>
      <c r="R835" s="147"/>
      <c r="S835" s="147"/>
      <c r="T835" s="147"/>
      <c r="U835" s="147"/>
      <c r="V835" s="147"/>
      <c r="W835" s="147"/>
      <c r="X835" s="147"/>
      <c r="Y835" s="147"/>
      <c r="Z835" s="147"/>
      <c r="AA835" s="147"/>
      <c r="AB835" s="147"/>
      <c r="AC835" s="147"/>
      <c r="AD835" s="147"/>
      <c r="AE835" s="147"/>
      <c r="AF835" s="147"/>
      <c r="AG835" s="147"/>
      <c r="AH835" s="147"/>
      <c r="AI835" s="147"/>
      <c r="AJ835" s="147"/>
      <c r="AK835" s="147"/>
      <c r="AL835" s="147"/>
      <c r="AM835" s="147"/>
      <c r="AN835" s="147"/>
      <c r="AO835" s="147"/>
      <c r="AP835" s="147"/>
      <c r="AQ835" s="147"/>
      <c r="AR835" s="147"/>
      <c r="AS835" s="147"/>
      <c r="AT835" s="147"/>
      <c r="AU835" s="147"/>
      <c r="AV835" s="147"/>
      <c r="AW835" s="147"/>
      <c r="AX835" s="147"/>
      <c r="AY835" s="147"/>
      <c r="AZ835" s="147"/>
      <c r="BA835" s="147"/>
      <c r="BB835" s="147"/>
      <c r="BC835" s="147"/>
      <c r="BD835" s="147"/>
      <c r="BE835" s="147"/>
      <c r="BF835" s="147"/>
      <c r="BG835" s="147"/>
      <c r="BH835" s="147"/>
      <c r="BI835" s="147"/>
      <c r="BJ835" s="147"/>
      <c r="BK835" s="147"/>
      <c r="BL835" s="147"/>
      <c r="BM835" s="147"/>
      <c r="BN835" s="147"/>
      <c r="BO835" s="147"/>
      <c r="BP835" s="147"/>
      <c r="BQ835" s="147"/>
      <c r="BR835" s="147"/>
      <c r="BS835" s="147"/>
      <c r="BT835" s="147"/>
      <c r="BU835" s="147"/>
      <c r="BV835" s="147"/>
      <c r="BW835" s="147"/>
      <c r="BX835" s="147"/>
      <c r="BY835" s="147"/>
      <c r="BZ835" s="147"/>
      <c r="CA835" s="147"/>
      <c r="CB835" s="147"/>
      <c r="CC835" s="147"/>
      <c r="CD835" s="147"/>
      <c r="CE835" s="147"/>
      <c r="CF835" s="147"/>
      <c r="CG835" s="147"/>
      <c r="CH835" s="147"/>
      <c r="CI835" s="147"/>
      <c r="CJ835" s="147"/>
      <c r="CK835" s="147"/>
    </row>
    <row r="836" spans="1:89">
      <c r="A836" s="147"/>
      <c r="B836" s="147"/>
      <c r="C836" s="147"/>
      <c r="D836" s="147"/>
      <c r="E836" s="147"/>
      <c r="F836" s="147"/>
      <c r="G836" s="147"/>
      <c r="H836" s="147"/>
      <c r="I836" s="147"/>
      <c r="J836" s="147"/>
      <c r="K836" s="147"/>
      <c r="L836" s="147"/>
      <c r="M836" s="147"/>
      <c r="N836" s="147"/>
      <c r="O836" s="158"/>
      <c r="P836" s="147"/>
      <c r="Q836" s="147"/>
      <c r="R836" s="147"/>
      <c r="S836" s="147"/>
      <c r="T836" s="147"/>
      <c r="U836" s="147"/>
      <c r="V836" s="147"/>
      <c r="W836" s="147"/>
      <c r="X836" s="147"/>
      <c r="Y836" s="147"/>
      <c r="Z836" s="147"/>
      <c r="AA836" s="147"/>
      <c r="AB836" s="147"/>
      <c r="AC836" s="147"/>
      <c r="AD836" s="147"/>
      <c r="AE836" s="147"/>
      <c r="AF836" s="147"/>
      <c r="AG836" s="147"/>
      <c r="AH836" s="147"/>
      <c r="AI836" s="147"/>
      <c r="AJ836" s="147"/>
      <c r="AK836" s="147"/>
      <c r="AL836" s="147"/>
      <c r="AM836" s="147"/>
      <c r="AN836" s="147"/>
      <c r="AO836" s="147"/>
      <c r="AP836" s="147"/>
      <c r="AQ836" s="147"/>
      <c r="AR836" s="147"/>
      <c r="AS836" s="147"/>
      <c r="AT836" s="147"/>
      <c r="AU836" s="147"/>
      <c r="AV836" s="147"/>
      <c r="AW836" s="147"/>
      <c r="AX836" s="147"/>
      <c r="AY836" s="147"/>
      <c r="AZ836" s="147"/>
      <c r="BA836" s="147"/>
      <c r="BB836" s="147"/>
      <c r="BC836" s="147"/>
      <c r="BD836" s="147"/>
      <c r="BE836" s="147"/>
      <c r="BF836" s="147"/>
      <c r="BG836" s="147"/>
      <c r="BH836" s="147"/>
      <c r="BI836" s="147"/>
      <c r="BJ836" s="147"/>
      <c r="BK836" s="147"/>
      <c r="BL836" s="147"/>
      <c r="BM836" s="147"/>
      <c r="BN836" s="147"/>
      <c r="BO836" s="147"/>
      <c r="BP836" s="147"/>
      <c r="BQ836" s="147"/>
      <c r="BR836" s="147"/>
      <c r="BS836" s="147"/>
      <c r="BT836" s="147"/>
      <c r="BU836" s="147"/>
      <c r="BV836" s="147"/>
      <c r="BW836" s="147"/>
      <c r="BX836" s="147"/>
      <c r="BY836" s="147"/>
      <c r="BZ836" s="147"/>
      <c r="CA836" s="147"/>
      <c r="CB836" s="147"/>
      <c r="CC836" s="147"/>
      <c r="CD836" s="147"/>
      <c r="CE836" s="147"/>
      <c r="CF836" s="147"/>
      <c r="CG836" s="147"/>
      <c r="CH836" s="147"/>
      <c r="CI836" s="147"/>
      <c r="CJ836" s="147"/>
      <c r="CK836" s="147"/>
    </row>
    <row r="837" spans="1:89">
      <c r="A837" s="147"/>
      <c r="B837" s="147"/>
      <c r="C837" s="147"/>
      <c r="D837" s="147"/>
      <c r="E837" s="147"/>
      <c r="F837" s="147"/>
      <c r="G837" s="147"/>
      <c r="H837" s="147"/>
      <c r="I837" s="147"/>
      <c r="J837" s="147"/>
      <c r="K837" s="147"/>
      <c r="L837" s="147"/>
      <c r="M837" s="147"/>
      <c r="N837" s="147"/>
      <c r="O837" s="158"/>
      <c r="P837" s="147"/>
      <c r="Q837" s="147"/>
      <c r="R837" s="147"/>
      <c r="S837" s="147"/>
      <c r="T837" s="147"/>
      <c r="U837" s="147"/>
      <c r="V837" s="147"/>
      <c r="W837" s="147"/>
      <c r="X837" s="147"/>
      <c r="Y837" s="147"/>
      <c r="Z837" s="147"/>
      <c r="AA837" s="147"/>
      <c r="AB837" s="147"/>
      <c r="AC837" s="147"/>
      <c r="AD837" s="147"/>
      <c r="AE837" s="147"/>
      <c r="AF837" s="147"/>
      <c r="AG837" s="147"/>
      <c r="AH837" s="147"/>
      <c r="AI837" s="147"/>
      <c r="AJ837" s="147"/>
      <c r="AK837" s="147"/>
      <c r="AL837" s="147"/>
      <c r="AM837" s="147"/>
      <c r="AN837" s="147"/>
      <c r="AO837" s="147"/>
      <c r="AP837" s="147"/>
      <c r="AQ837" s="147"/>
      <c r="AR837" s="147"/>
      <c r="AS837" s="147"/>
      <c r="AT837" s="147"/>
      <c r="AU837" s="147"/>
      <c r="AV837" s="147"/>
      <c r="AW837" s="147"/>
      <c r="AX837" s="147"/>
      <c r="AY837" s="147"/>
      <c r="AZ837" s="147"/>
      <c r="BA837" s="147"/>
      <c r="BB837" s="147"/>
      <c r="BC837" s="147"/>
      <c r="BD837" s="147"/>
      <c r="BE837" s="147"/>
      <c r="BF837" s="147"/>
      <c r="BG837" s="147"/>
      <c r="BH837" s="147"/>
      <c r="BI837" s="147"/>
      <c r="BJ837" s="147"/>
      <c r="BK837" s="147"/>
      <c r="BL837" s="147"/>
      <c r="BM837" s="147"/>
      <c r="BN837" s="147"/>
      <c r="BO837" s="147"/>
      <c r="BP837" s="147"/>
      <c r="BQ837" s="147"/>
      <c r="BR837" s="147"/>
      <c r="BS837" s="147"/>
      <c r="BT837" s="147"/>
      <c r="BU837" s="147"/>
      <c r="BV837" s="147"/>
      <c r="BW837" s="147"/>
      <c r="BX837" s="147"/>
      <c r="BY837" s="147"/>
      <c r="BZ837" s="147"/>
      <c r="CA837" s="147"/>
      <c r="CB837" s="147"/>
      <c r="CC837" s="147"/>
      <c r="CD837" s="147"/>
      <c r="CE837" s="147"/>
      <c r="CF837" s="147"/>
      <c r="CG837" s="147"/>
      <c r="CH837" s="147"/>
      <c r="CI837" s="147"/>
      <c r="CJ837" s="147"/>
      <c r="CK837" s="147"/>
    </row>
    <row r="838" spans="1:89">
      <c r="A838" s="147"/>
      <c r="B838" s="147"/>
      <c r="C838" s="147"/>
      <c r="D838" s="147"/>
      <c r="E838" s="147"/>
      <c r="F838" s="147"/>
      <c r="G838" s="147"/>
      <c r="H838" s="147"/>
      <c r="I838" s="147"/>
      <c r="J838" s="147"/>
      <c r="K838" s="147"/>
      <c r="L838" s="147"/>
      <c r="M838" s="147"/>
      <c r="N838" s="147"/>
      <c r="O838" s="158"/>
      <c r="P838" s="147"/>
      <c r="Q838" s="147"/>
      <c r="R838" s="147"/>
      <c r="S838" s="147"/>
      <c r="T838" s="147"/>
      <c r="U838" s="147"/>
      <c r="V838" s="147"/>
      <c r="W838" s="147"/>
      <c r="X838" s="147"/>
      <c r="Y838" s="147"/>
      <c r="Z838" s="147"/>
      <c r="AA838" s="147"/>
      <c r="AB838" s="147"/>
      <c r="AC838" s="147"/>
      <c r="AD838" s="147"/>
      <c r="AE838" s="147"/>
      <c r="AF838" s="147"/>
      <c r="AG838" s="147"/>
      <c r="AH838" s="147"/>
      <c r="AI838" s="147"/>
      <c r="AJ838" s="147"/>
      <c r="AK838" s="147"/>
      <c r="AL838" s="147"/>
      <c r="AM838" s="147"/>
      <c r="AN838" s="147"/>
      <c r="AO838" s="147"/>
      <c r="AP838" s="147"/>
      <c r="AQ838" s="147"/>
      <c r="AR838" s="147"/>
      <c r="AS838" s="147"/>
      <c r="AT838" s="147"/>
      <c r="AU838" s="147"/>
      <c r="AV838" s="147"/>
      <c r="AW838" s="147"/>
      <c r="AX838" s="147"/>
      <c r="AY838" s="147"/>
      <c r="AZ838" s="147"/>
      <c r="BA838" s="147"/>
      <c r="BB838" s="147"/>
      <c r="BC838" s="147"/>
      <c r="BD838" s="147"/>
      <c r="BE838" s="147"/>
      <c r="BF838" s="147"/>
      <c r="BG838" s="147"/>
      <c r="BH838" s="147"/>
      <c r="BI838" s="147"/>
      <c r="BJ838" s="147"/>
      <c r="BK838" s="147"/>
      <c r="BL838" s="147"/>
      <c r="BM838" s="147"/>
      <c r="BN838" s="147"/>
      <c r="BO838" s="147"/>
      <c r="BP838" s="147"/>
      <c r="BQ838" s="147"/>
      <c r="BR838" s="147"/>
      <c r="BS838" s="147"/>
      <c r="BT838" s="147"/>
      <c r="BU838" s="147"/>
      <c r="BV838" s="147"/>
      <c r="BW838" s="147"/>
      <c r="BX838" s="147"/>
      <c r="BY838" s="147"/>
      <c r="BZ838" s="147"/>
      <c r="CA838" s="147"/>
      <c r="CB838" s="147"/>
      <c r="CC838" s="147"/>
      <c r="CD838" s="147"/>
      <c r="CE838" s="147"/>
      <c r="CF838" s="147"/>
      <c r="CG838" s="147"/>
      <c r="CH838" s="147"/>
      <c r="CI838" s="147"/>
      <c r="CJ838" s="147"/>
      <c r="CK838" s="147"/>
    </row>
    <row r="839" spans="1:89">
      <c r="A839" s="147"/>
      <c r="B839" s="147"/>
      <c r="C839" s="147"/>
      <c r="D839" s="147"/>
      <c r="E839" s="147"/>
      <c r="F839" s="147"/>
      <c r="G839" s="147"/>
      <c r="H839" s="147"/>
      <c r="I839" s="147"/>
      <c r="J839" s="147"/>
      <c r="K839" s="147"/>
      <c r="L839" s="147"/>
      <c r="M839" s="147"/>
      <c r="N839" s="147"/>
      <c r="O839" s="158"/>
      <c r="P839" s="147"/>
      <c r="Q839" s="147"/>
      <c r="R839" s="147"/>
      <c r="S839" s="147"/>
      <c r="T839" s="147"/>
      <c r="U839" s="147"/>
      <c r="V839" s="147"/>
      <c r="W839" s="147"/>
      <c r="X839" s="147"/>
      <c r="Y839" s="147"/>
      <c r="Z839" s="147"/>
      <c r="AA839" s="147"/>
      <c r="AB839" s="147"/>
      <c r="AC839" s="147"/>
      <c r="AD839" s="147"/>
      <c r="AE839" s="147"/>
      <c r="AF839" s="147"/>
      <c r="AG839" s="147"/>
      <c r="AH839" s="147"/>
      <c r="AI839" s="147"/>
      <c r="AJ839" s="147"/>
      <c r="AK839" s="147"/>
      <c r="AL839" s="147"/>
      <c r="AM839" s="147"/>
      <c r="AN839" s="147"/>
      <c r="AO839" s="147"/>
      <c r="AP839" s="147"/>
      <c r="AQ839" s="147"/>
      <c r="AR839" s="147"/>
      <c r="AS839" s="147"/>
      <c r="AT839" s="147"/>
      <c r="AU839" s="147"/>
      <c r="AV839" s="147"/>
      <c r="AW839" s="147"/>
      <c r="AX839" s="147"/>
      <c r="AY839" s="147"/>
      <c r="AZ839" s="147"/>
      <c r="BA839" s="147"/>
      <c r="BB839" s="147"/>
      <c r="BC839" s="147"/>
      <c r="BD839" s="147"/>
      <c r="BE839" s="147"/>
      <c r="BF839" s="147"/>
      <c r="BG839" s="147"/>
      <c r="BH839" s="147"/>
      <c r="BI839" s="147"/>
      <c r="BJ839" s="147"/>
      <c r="BK839" s="147"/>
      <c r="BL839" s="147"/>
      <c r="BM839" s="147"/>
      <c r="BN839" s="147"/>
      <c r="BO839" s="147"/>
      <c r="BP839" s="147"/>
      <c r="BQ839" s="147"/>
      <c r="BR839" s="147"/>
      <c r="BS839" s="147"/>
      <c r="BT839" s="147"/>
      <c r="BU839" s="147"/>
      <c r="BV839" s="147"/>
      <c r="BW839" s="147"/>
      <c r="BX839" s="147"/>
      <c r="BY839" s="147"/>
      <c r="BZ839" s="147"/>
      <c r="CA839" s="147"/>
      <c r="CB839" s="147"/>
      <c r="CC839" s="147"/>
      <c r="CD839" s="147"/>
      <c r="CE839" s="147"/>
      <c r="CF839" s="147"/>
      <c r="CG839" s="147"/>
      <c r="CH839" s="147"/>
      <c r="CI839" s="147"/>
      <c r="CJ839" s="147"/>
      <c r="CK839" s="147"/>
    </row>
    <row r="840" spans="1:89">
      <c r="A840" s="147"/>
      <c r="B840" s="147"/>
      <c r="C840" s="147"/>
      <c r="D840" s="147"/>
      <c r="E840" s="147"/>
      <c r="F840" s="147"/>
      <c r="G840" s="147"/>
      <c r="H840" s="147"/>
      <c r="I840" s="147"/>
      <c r="J840" s="147"/>
      <c r="K840" s="147"/>
      <c r="L840" s="147"/>
      <c r="M840" s="147"/>
      <c r="N840" s="147"/>
      <c r="O840" s="158"/>
      <c r="P840" s="147"/>
      <c r="Q840" s="147"/>
      <c r="R840" s="147"/>
      <c r="S840" s="147"/>
      <c r="T840" s="147"/>
      <c r="U840" s="147"/>
      <c r="V840" s="147"/>
      <c r="W840" s="147"/>
      <c r="X840" s="147"/>
      <c r="Y840" s="147"/>
      <c r="Z840" s="147"/>
      <c r="AA840" s="147"/>
      <c r="AB840" s="147"/>
      <c r="AC840" s="147"/>
      <c r="AD840" s="147"/>
      <c r="AE840" s="147"/>
      <c r="AF840" s="147"/>
      <c r="AG840" s="147"/>
      <c r="AH840" s="147"/>
      <c r="AI840" s="147"/>
      <c r="AJ840" s="147"/>
      <c r="AK840" s="147"/>
      <c r="AL840" s="147"/>
      <c r="AM840" s="147"/>
      <c r="AN840" s="147"/>
      <c r="AO840" s="147"/>
      <c r="AP840" s="147"/>
      <c r="AQ840" s="147"/>
      <c r="AR840" s="147"/>
      <c r="AS840" s="147"/>
      <c r="AT840" s="147"/>
      <c r="AU840" s="147"/>
      <c r="AV840" s="147"/>
      <c r="AW840" s="147"/>
      <c r="AX840" s="147"/>
      <c r="AY840" s="147"/>
      <c r="AZ840" s="147"/>
      <c r="BA840" s="147"/>
      <c r="BB840" s="147"/>
      <c r="BC840" s="147"/>
      <c r="BD840" s="147"/>
      <c r="BE840" s="147"/>
      <c r="BF840" s="147"/>
      <c r="BG840" s="147"/>
      <c r="BH840" s="147"/>
      <c r="BI840" s="147"/>
      <c r="BJ840" s="147"/>
      <c r="BK840" s="147"/>
      <c r="BL840" s="147"/>
      <c r="BM840" s="147"/>
      <c r="BN840" s="147"/>
      <c r="BO840" s="147"/>
      <c r="BP840" s="147"/>
      <c r="BQ840" s="147"/>
      <c r="BR840" s="147"/>
      <c r="BS840" s="147"/>
      <c r="BT840" s="147"/>
      <c r="BU840" s="147"/>
      <c r="BV840" s="147"/>
      <c r="BW840" s="147"/>
      <c r="BX840" s="147"/>
      <c r="BY840" s="147"/>
      <c r="BZ840" s="147"/>
      <c r="CA840" s="147"/>
      <c r="CB840" s="147"/>
      <c r="CC840" s="147"/>
      <c r="CD840" s="147"/>
      <c r="CE840" s="147"/>
      <c r="CF840" s="147"/>
      <c r="CG840" s="147"/>
      <c r="CH840" s="147"/>
      <c r="CI840" s="147"/>
      <c r="CJ840" s="147"/>
      <c r="CK840" s="147"/>
    </row>
    <row r="841" spans="1:89">
      <c r="A841" s="147"/>
      <c r="B841" s="147"/>
      <c r="C841" s="147"/>
      <c r="D841" s="147"/>
      <c r="E841" s="147"/>
      <c r="F841" s="147"/>
      <c r="G841" s="147"/>
      <c r="H841" s="147"/>
      <c r="I841" s="147"/>
      <c r="J841" s="147"/>
      <c r="K841" s="147"/>
      <c r="L841" s="147"/>
      <c r="M841" s="147"/>
      <c r="N841" s="147"/>
      <c r="O841" s="158"/>
      <c r="P841" s="147"/>
      <c r="Q841" s="147"/>
      <c r="R841" s="147"/>
      <c r="S841" s="147"/>
      <c r="T841" s="147"/>
      <c r="U841" s="147"/>
      <c r="V841" s="147"/>
      <c r="W841" s="147"/>
      <c r="X841" s="147"/>
      <c r="Y841" s="147"/>
      <c r="Z841" s="147"/>
      <c r="AA841" s="147"/>
      <c r="AB841" s="147"/>
      <c r="AC841" s="147"/>
      <c r="AD841" s="147"/>
      <c r="AE841" s="147"/>
      <c r="AF841" s="147"/>
      <c r="AG841" s="147"/>
      <c r="AH841" s="147"/>
      <c r="AI841" s="147"/>
      <c r="AJ841" s="147"/>
      <c r="AK841" s="147"/>
      <c r="AL841" s="147"/>
      <c r="AM841" s="147"/>
      <c r="AN841" s="147"/>
      <c r="AO841" s="147"/>
      <c r="AP841" s="147"/>
      <c r="AQ841" s="147"/>
      <c r="AR841" s="147"/>
      <c r="AS841" s="147"/>
      <c r="AT841" s="147"/>
      <c r="AU841" s="147"/>
      <c r="AV841" s="147"/>
      <c r="AW841" s="147"/>
      <c r="AX841" s="147"/>
      <c r="AY841" s="147"/>
      <c r="AZ841" s="147"/>
      <c r="BA841" s="147"/>
      <c r="BB841" s="147"/>
      <c r="BC841" s="147"/>
      <c r="BD841" s="147"/>
      <c r="BE841" s="147"/>
      <c r="BF841" s="147"/>
      <c r="BG841" s="147"/>
      <c r="BH841" s="147"/>
      <c r="BI841" s="147"/>
      <c r="BJ841" s="147"/>
      <c r="BK841" s="147"/>
      <c r="BL841" s="147"/>
      <c r="BM841" s="147"/>
      <c r="BN841" s="147"/>
      <c r="BO841" s="147"/>
      <c r="BP841" s="147"/>
      <c r="BQ841" s="147"/>
      <c r="BR841" s="147"/>
      <c r="BS841" s="147"/>
      <c r="BT841" s="147"/>
      <c r="BU841" s="147"/>
      <c r="BV841" s="147"/>
      <c r="BW841" s="147"/>
      <c r="BX841" s="147"/>
      <c r="BY841" s="147"/>
      <c r="BZ841" s="147"/>
      <c r="CA841" s="147"/>
      <c r="CB841" s="147"/>
      <c r="CC841" s="147"/>
      <c r="CD841" s="147"/>
      <c r="CE841" s="147"/>
      <c r="CF841" s="147"/>
      <c r="CG841" s="147"/>
      <c r="CH841" s="147"/>
      <c r="CI841" s="147"/>
      <c r="CJ841" s="147"/>
      <c r="CK841" s="147"/>
    </row>
    <row r="842" spans="1:89">
      <c r="A842" s="147"/>
      <c r="B842" s="147"/>
      <c r="C842" s="147"/>
      <c r="D842" s="147"/>
      <c r="E842" s="147"/>
      <c r="F842" s="147"/>
      <c r="G842" s="147"/>
      <c r="H842" s="147"/>
      <c r="I842" s="147"/>
      <c r="J842" s="147"/>
      <c r="K842" s="147"/>
      <c r="L842" s="147"/>
      <c r="M842" s="147"/>
      <c r="N842" s="147"/>
      <c r="O842" s="158"/>
      <c r="P842" s="147"/>
      <c r="Q842" s="147"/>
      <c r="R842" s="147"/>
      <c r="S842" s="147"/>
      <c r="T842" s="147"/>
      <c r="U842" s="147"/>
      <c r="V842" s="147"/>
      <c r="W842" s="147"/>
      <c r="X842" s="147"/>
      <c r="Y842" s="147"/>
      <c r="Z842" s="147"/>
      <c r="AA842" s="147"/>
      <c r="AB842" s="147"/>
      <c r="AC842" s="147"/>
      <c r="AD842" s="147"/>
      <c r="AE842" s="147"/>
      <c r="AF842" s="147"/>
      <c r="AG842" s="147"/>
      <c r="AH842" s="147"/>
      <c r="AI842" s="147"/>
      <c r="AJ842" s="147"/>
      <c r="AK842" s="147"/>
      <c r="AL842" s="147"/>
      <c r="AM842" s="147"/>
      <c r="AN842" s="147"/>
      <c r="AO842" s="147"/>
      <c r="AP842" s="147"/>
      <c r="AQ842" s="147"/>
      <c r="AR842" s="147"/>
      <c r="AS842" s="147"/>
      <c r="AT842" s="147"/>
      <c r="AU842" s="147"/>
      <c r="AV842" s="147"/>
      <c r="AW842" s="147"/>
      <c r="AX842" s="147"/>
      <c r="AY842" s="147"/>
      <c r="AZ842" s="147"/>
      <c r="BA842" s="147"/>
      <c r="BB842" s="147"/>
      <c r="BC842" s="147"/>
      <c r="BD842" s="147"/>
      <c r="BE842" s="147"/>
      <c r="BF842" s="147"/>
      <c r="BG842" s="147"/>
      <c r="BH842" s="147"/>
      <c r="BI842" s="147"/>
      <c r="BJ842" s="147"/>
      <c r="BK842" s="147"/>
      <c r="BL842" s="147"/>
      <c r="BM842" s="147"/>
      <c r="BN842" s="147"/>
      <c r="BO842" s="147"/>
      <c r="BP842" s="147"/>
      <c r="BQ842" s="147"/>
      <c r="BR842" s="147"/>
      <c r="BS842" s="147"/>
      <c r="BT842" s="147"/>
      <c r="BU842" s="147"/>
      <c r="BV842" s="147"/>
      <c r="BW842" s="147"/>
      <c r="BX842" s="147"/>
      <c r="BY842" s="147"/>
      <c r="BZ842" s="147"/>
      <c r="CA842" s="147"/>
      <c r="CB842" s="147"/>
      <c r="CC842" s="147"/>
      <c r="CD842" s="147"/>
      <c r="CE842" s="147"/>
      <c r="CF842" s="147"/>
      <c r="CG842" s="147"/>
      <c r="CH842" s="147"/>
      <c r="CI842" s="147"/>
      <c r="CJ842" s="147"/>
      <c r="CK842" s="147"/>
    </row>
    <row r="843" spans="1:89">
      <c r="A843" s="147"/>
      <c r="B843" s="147"/>
      <c r="C843" s="147"/>
      <c r="D843" s="147"/>
      <c r="E843" s="147"/>
      <c r="F843" s="147"/>
      <c r="G843" s="147"/>
      <c r="H843" s="147"/>
      <c r="I843" s="147"/>
      <c r="J843" s="147"/>
      <c r="K843" s="147"/>
      <c r="L843" s="147"/>
      <c r="M843" s="147"/>
      <c r="N843" s="147"/>
      <c r="O843" s="158"/>
      <c r="P843" s="147"/>
      <c r="Q843" s="147"/>
      <c r="R843" s="147"/>
      <c r="S843" s="147"/>
      <c r="T843" s="147"/>
      <c r="U843" s="147"/>
      <c r="V843" s="147"/>
      <c r="W843" s="147"/>
      <c r="X843" s="147"/>
      <c r="Y843" s="147"/>
      <c r="Z843" s="147"/>
      <c r="AA843" s="147"/>
      <c r="AB843" s="147"/>
      <c r="AC843" s="147"/>
      <c r="AD843" s="147"/>
      <c r="AE843" s="147"/>
      <c r="AF843" s="147"/>
      <c r="AG843" s="147"/>
      <c r="AH843" s="147"/>
      <c r="AI843" s="147"/>
      <c r="AJ843" s="147"/>
      <c r="AK843" s="147"/>
      <c r="AL843" s="147"/>
      <c r="AM843" s="147"/>
      <c r="AN843" s="147"/>
      <c r="AO843" s="147"/>
      <c r="AP843" s="147"/>
      <c r="AQ843" s="147"/>
      <c r="AR843" s="147"/>
      <c r="AS843" s="147"/>
      <c r="AT843" s="147"/>
      <c r="AU843" s="147"/>
      <c r="AV843" s="147"/>
      <c r="AW843" s="147"/>
      <c r="AX843" s="147"/>
      <c r="AY843" s="147"/>
      <c r="AZ843" s="147"/>
      <c r="BA843" s="147"/>
      <c r="BB843" s="147"/>
      <c r="BC843" s="147"/>
      <c r="BD843" s="147"/>
      <c r="BE843" s="147"/>
      <c r="BF843" s="147"/>
      <c r="BG843" s="147"/>
      <c r="BH843" s="147"/>
      <c r="BI843" s="147"/>
      <c r="BJ843" s="147"/>
      <c r="BK843" s="147"/>
      <c r="BL843" s="147"/>
      <c r="BM843" s="147"/>
      <c r="BN843" s="147"/>
      <c r="BO843" s="147"/>
      <c r="BP843" s="147"/>
      <c r="BQ843" s="147"/>
      <c r="BR843" s="147"/>
      <c r="BS843" s="147"/>
      <c r="BT843" s="147"/>
      <c r="BU843" s="147"/>
      <c r="BV843" s="147"/>
      <c r="BW843" s="147"/>
      <c r="BX843" s="147"/>
      <c r="BY843" s="147"/>
      <c r="BZ843" s="147"/>
      <c r="CA843" s="147"/>
      <c r="CB843" s="147"/>
      <c r="CC843" s="147"/>
      <c r="CD843" s="147"/>
      <c r="CE843" s="147"/>
      <c r="CF843" s="147"/>
      <c r="CG843" s="147"/>
      <c r="CH843" s="147"/>
      <c r="CI843" s="147"/>
      <c r="CJ843" s="147"/>
      <c r="CK843" s="147"/>
    </row>
    <row r="844" spans="1:89">
      <c r="A844" s="147"/>
      <c r="B844" s="147"/>
      <c r="C844" s="147"/>
      <c r="D844" s="147"/>
      <c r="E844" s="147"/>
      <c r="F844" s="147"/>
      <c r="G844" s="147"/>
      <c r="H844" s="147"/>
      <c r="I844" s="147"/>
      <c r="J844" s="147"/>
      <c r="K844" s="147"/>
      <c r="L844" s="147"/>
      <c r="M844" s="147"/>
      <c r="N844" s="147"/>
      <c r="O844" s="158"/>
      <c r="P844" s="147"/>
      <c r="Q844" s="147"/>
      <c r="R844" s="147"/>
      <c r="S844" s="147"/>
      <c r="T844" s="147"/>
      <c r="U844" s="147"/>
      <c r="V844" s="147"/>
      <c r="W844" s="147"/>
      <c r="X844" s="147"/>
      <c r="Y844" s="147"/>
      <c r="Z844" s="147"/>
      <c r="AA844" s="147"/>
      <c r="AB844" s="147"/>
      <c r="AC844" s="147"/>
      <c r="AD844" s="147"/>
      <c r="AE844" s="147"/>
      <c r="AF844" s="147"/>
      <c r="AG844" s="147"/>
      <c r="AH844" s="147"/>
      <c r="AI844" s="147"/>
      <c r="AJ844" s="147"/>
      <c r="AK844" s="147"/>
      <c r="AL844" s="147"/>
      <c r="AM844" s="147"/>
      <c r="AN844" s="147"/>
      <c r="AO844" s="147"/>
      <c r="AP844" s="147"/>
      <c r="AQ844" s="147"/>
      <c r="AR844" s="147"/>
      <c r="AS844" s="147"/>
      <c r="AT844" s="147"/>
      <c r="AU844" s="147"/>
      <c r="AV844" s="147"/>
      <c r="AW844" s="147"/>
      <c r="AX844" s="147"/>
      <c r="AY844" s="147"/>
      <c r="AZ844" s="147"/>
      <c r="BA844" s="147"/>
      <c r="BB844" s="147"/>
      <c r="BC844" s="147"/>
      <c r="BD844" s="147"/>
      <c r="BE844" s="147"/>
      <c r="BF844" s="147"/>
      <c r="BG844" s="147"/>
      <c r="BH844" s="147"/>
      <c r="BI844" s="147"/>
      <c r="BJ844" s="147"/>
      <c r="BK844" s="147"/>
      <c r="BL844" s="147"/>
      <c r="BM844" s="147"/>
      <c r="BN844" s="147"/>
      <c r="BO844" s="147"/>
      <c r="BP844" s="147"/>
      <c r="BQ844" s="147"/>
      <c r="BR844" s="147"/>
      <c r="BS844" s="147"/>
      <c r="BT844" s="147"/>
      <c r="BU844" s="147"/>
      <c r="BV844" s="147"/>
      <c r="BW844" s="147"/>
      <c r="BX844" s="147"/>
      <c r="BY844" s="147"/>
      <c r="BZ844" s="147"/>
      <c r="CA844" s="147"/>
      <c r="CB844" s="147"/>
      <c r="CC844" s="147"/>
      <c r="CD844" s="147"/>
      <c r="CE844" s="147"/>
      <c r="CF844" s="147"/>
      <c r="CG844" s="147"/>
      <c r="CH844" s="147"/>
      <c r="CI844" s="147"/>
      <c r="CJ844" s="147"/>
      <c r="CK844" s="147"/>
    </row>
    <row r="845" spans="1:89">
      <c r="A845" s="147"/>
      <c r="B845" s="147"/>
      <c r="C845" s="147"/>
      <c r="D845" s="147"/>
      <c r="E845" s="147"/>
      <c r="F845" s="147"/>
      <c r="G845" s="147"/>
      <c r="H845" s="147"/>
      <c r="I845" s="147"/>
      <c r="J845" s="147"/>
      <c r="K845" s="147"/>
      <c r="L845" s="147"/>
      <c r="M845" s="147"/>
      <c r="N845" s="147"/>
      <c r="O845" s="158"/>
      <c r="P845" s="147"/>
      <c r="Q845" s="147"/>
      <c r="R845" s="147"/>
      <c r="S845" s="147"/>
      <c r="T845" s="147"/>
      <c r="U845" s="147"/>
      <c r="V845" s="147"/>
      <c r="W845" s="147"/>
      <c r="X845" s="147"/>
      <c r="Y845" s="147"/>
      <c r="Z845" s="147"/>
      <c r="AA845" s="147"/>
      <c r="AB845" s="147"/>
      <c r="AC845" s="147"/>
      <c r="AD845" s="147"/>
      <c r="AE845" s="147"/>
      <c r="AF845" s="147"/>
      <c r="AG845" s="147"/>
      <c r="AH845" s="147"/>
      <c r="AI845" s="147"/>
      <c r="AJ845" s="147"/>
      <c r="AK845" s="147"/>
      <c r="AL845" s="147"/>
      <c r="AM845" s="147"/>
      <c r="AN845" s="147"/>
      <c r="AO845" s="147"/>
      <c r="AP845" s="147"/>
      <c r="AQ845" s="147"/>
      <c r="AR845" s="147"/>
      <c r="AS845" s="147"/>
      <c r="AT845" s="147"/>
      <c r="AU845" s="147"/>
      <c r="AV845" s="147"/>
      <c r="AW845" s="147"/>
      <c r="AX845" s="147"/>
      <c r="AY845" s="147"/>
      <c r="AZ845" s="147"/>
      <c r="BA845" s="147"/>
      <c r="BB845" s="147"/>
      <c r="BC845" s="147"/>
      <c r="BD845" s="147"/>
      <c r="BE845" s="147"/>
      <c r="BF845" s="147"/>
      <c r="BG845" s="147"/>
      <c r="BH845" s="147"/>
      <c r="BI845" s="147"/>
      <c r="BJ845" s="147"/>
      <c r="BK845" s="147"/>
      <c r="BL845" s="147"/>
      <c r="BM845" s="147"/>
      <c r="BN845" s="147"/>
      <c r="BO845" s="147"/>
      <c r="BP845" s="147"/>
      <c r="BQ845" s="147"/>
      <c r="BR845" s="147"/>
      <c r="BS845" s="147"/>
      <c r="BT845" s="147"/>
      <c r="BU845" s="147"/>
      <c r="BV845" s="147"/>
      <c r="BW845" s="147"/>
      <c r="BX845" s="147"/>
      <c r="BY845" s="147"/>
      <c r="BZ845" s="147"/>
      <c r="CA845" s="147"/>
      <c r="CB845" s="147"/>
      <c r="CC845" s="147"/>
      <c r="CD845" s="147"/>
      <c r="CE845" s="147"/>
      <c r="CF845" s="147"/>
      <c r="CG845" s="147"/>
      <c r="CH845" s="147"/>
      <c r="CI845" s="147"/>
      <c r="CJ845" s="147"/>
      <c r="CK845" s="147"/>
    </row>
    <row r="846" spans="1:89">
      <c r="A846" s="147"/>
      <c r="B846" s="147"/>
      <c r="C846" s="147"/>
      <c r="D846" s="147"/>
      <c r="E846" s="147"/>
      <c r="F846" s="147"/>
      <c r="G846" s="147"/>
      <c r="H846" s="147"/>
      <c r="I846" s="147"/>
      <c r="J846" s="147"/>
      <c r="K846" s="147"/>
      <c r="L846" s="147"/>
      <c r="M846" s="147"/>
      <c r="N846" s="147"/>
      <c r="O846" s="158"/>
      <c r="P846" s="147"/>
      <c r="Q846" s="147"/>
      <c r="R846" s="147"/>
      <c r="S846" s="147"/>
      <c r="T846" s="147"/>
      <c r="U846" s="147"/>
      <c r="V846" s="147"/>
      <c r="W846" s="147"/>
      <c r="X846" s="147"/>
      <c r="Y846" s="147"/>
      <c r="Z846" s="147"/>
      <c r="AA846" s="147"/>
      <c r="AB846" s="147"/>
      <c r="AC846" s="147"/>
      <c r="AD846" s="147"/>
      <c r="AE846" s="147"/>
      <c r="AF846" s="147"/>
      <c r="AG846" s="147"/>
      <c r="AH846" s="147"/>
      <c r="AI846" s="147"/>
      <c r="AJ846" s="147"/>
      <c r="AK846" s="147"/>
      <c r="AL846" s="147"/>
      <c r="AM846" s="147"/>
      <c r="AN846" s="147"/>
      <c r="AO846" s="147"/>
      <c r="AP846" s="147"/>
      <c r="AQ846" s="147"/>
      <c r="AR846" s="147"/>
      <c r="AS846" s="147"/>
      <c r="AT846" s="147"/>
      <c r="AU846" s="147"/>
      <c r="AV846" s="147"/>
      <c r="AW846" s="147"/>
      <c r="AX846" s="147"/>
      <c r="AY846" s="147"/>
      <c r="AZ846" s="147"/>
      <c r="BA846" s="147"/>
      <c r="BB846" s="147"/>
      <c r="BC846" s="147"/>
      <c r="BD846" s="147"/>
      <c r="BE846" s="147"/>
      <c r="BF846" s="147"/>
      <c r="BG846" s="147"/>
      <c r="BH846" s="147"/>
      <c r="BI846" s="147"/>
      <c r="BJ846" s="147"/>
      <c r="BK846" s="147"/>
      <c r="BL846" s="147"/>
      <c r="BM846" s="147"/>
      <c r="BN846" s="147"/>
      <c r="BO846" s="147"/>
      <c r="BP846" s="147"/>
      <c r="BQ846" s="147"/>
      <c r="BR846" s="147"/>
      <c r="BS846" s="147"/>
      <c r="BT846" s="147"/>
      <c r="BU846" s="147"/>
      <c r="BV846" s="147"/>
      <c r="BW846" s="147"/>
      <c r="BX846" s="147"/>
      <c r="BY846" s="147"/>
      <c r="BZ846" s="147"/>
      <c r="CA846" s="147"/>
      <c r="CB846" s="147"/>
      <c r="CC846" s="147"/>
      <c r="CD846" s="147"/>
      <c r="CE846" s="147"/>
      <c r="CF846" s="147"/>
      <c r="CG846" s="147"/>
      <c r="CH846" s="147"/>
      <c r="CI846" s="147"/>
      <c r="CJ846" s="147"/>
      <c r="CK846" s="147"/>
    </row>
    <row r="847" spans="1:89">
      <c r="A847" s="147"/>
      <c r="B847" s="147"/>
      <c r="C847" s="147"/>
      <c r="D847" s="147"/>
      <c r="E847" s="147"/>
      <c r="F847" s="147"/>
      <c r="G847" s="147"/>
      <c r="H847" s="147"/>
      <c r="I847" s="147"/>
      <c r="J847" s="147"/>
      <c r="K847" s="147"/>
      <c r="L847" s="147"/>
      <c r="M847" s="147"/>
      <c r="N847" s="147"/>
      <c r="O847" s="158"/>
      <c r="P847" s="147"/>
      <c r="Q847" s="147"/>
      <c r="R847" s="147"/>
      <c r="S847" s="147"/>
      <c r="T847" s="147"/>
      <c r="U847" s="147"/>
      <c r="V847" s="147"/>
      <c r="W847" s="147"/>
      <c r="X847" s="147"/>
      <c r="Y847" s="147"/>
      <c r="Z847" s="147"/>
      <c r="AA847" s="147"/>
      <c r="AB847" s="147"/>
      <c r="AC847" s="147"/>
      <c r="AD847" s="147"/>
      <c r="AE847" s="147"/>
      <c r="AF847" s="147"/>
      <c r="AG847" s="147"/>
      <c r="AH847" s="147"/>
      <c r="AI847" s="147"/>
      <c r="AJ847" s="147"/>
      <c r="AK847" s="147"/>
      <c r="AL847" s="147"/>
      <c r="AM847" s="147"/>
      <c r="AN847" s="147"/>
      <c r="AO847" s="147"/>
      <c r="AP847" s="147"/>
      <c r="AQ847" s="147"/>
      <c r="AR847" s="147"/>
      <c r="AS847" s="147"/>
      <c r="AT847" s="147"/>
      <c r="AU847" s="147"/>
      <c r="AV847" s="147"/>
      <c r="AW847" s="147"/>
      <c r="AX847" s="147"/>
      <c r="AY847" s="147"/>
      <c r="AZ847" s="147"/>
      <c r="BA847" s="147"/>
      <c r="BB847" s="147"/>
      <c r="BC847" s="147"/>
      <c r="BD847" s="147"/>
      <c r="BE847" s="147"/>
      <c r="BF847" s="147"/>
      <c r="BG847" s="147"/>
      <c r="BH847" s="147"/>
      <c r="BI847" s="147"/>
      <c r="BJ847" s="147"/>
      <c r="BK847" s="147"/>
      <c r="BL847" s="147"/>
      <c r="BM847" s="147"/>
      <c r="BN847" s="147"/>
      <c r="BO847" s="147"/>
      <c r="BP847" s="147"/>
      <c r="BQ847" s="147"/>
      <c r="BR847" s="147"/>
      <c r="BS847" s="147"/>
      <c r="BT847" s="147"/>
      <c r="BU847" s="147"/>
      <c r="BV847" s="147"/>
      <c r="BW847" s="147"/>
      <c r="BX847" s="147"/>
      <c r="BY847" s="147"/>
      <c r="BZ847" s="147"/>
      <c r="CA847" s="147"/>
      <c r="CB847" s="147"/>
      <c r="CC847" s="147"/>
      <c r="CD847" s="147"/>
      <c r="CE847" s="147"/>
      <c r="CF847" s="147"/>
      <c r="CG847" s="147"/>
      <c r="CH847" s="147"/>
      <c r="CI847" s="147"/>
      <c r="CJ847" s="147"/>
      <c r="CK847" s="147"/>
    </row>
    <row r="848" spans="1:89">
      <c r="A848" s="147"/>
      <c r="B848" s="147"/>
      <c r="C848" s="147"/>
      <c r="D848" s="147"/>
      <c r="E848" s="147"/>
      <c r="F848" s="147"/>
      <c r="G848" s="147"/>
      <c r="H848" s="147"/>
      <c r="I848" s="147"/>
      <c r="J848" s="147"/>
      <c r="K848" s="147"/>
      <c r="L848" s="147"/>
      <c r="M848" s="147"/>
      <c r="N848" s="147"/>
      <c r="O848" s="158"/>
      <c r="P848" s="147"/>
      <c r="Q848" s="147"/>
      <c r="R848" s="147"/>
      <c r="S848" s="147"/>
      <c r="T848" s="147"/>
      <c r="U848" s="147"/>
      <c r="V848" s="147"/>
      <c r="W848" s="147"/>
      <c r="X848" s="147"/>
      <c r="Y848" s="147"/>
      <c r="Z848" s="147"/>
      <c r="AA848" s="147"/>
      <c r="AB848" s="147"/>
      <c r="AC848" s="147"/>
      <c r="AD848" s="147"/>
      <c r="AE848" s="147"/>
      <c r="AF848" s="147"/>
      <c r="AG848" s="147"/>
      <c r="AH848" s="147"/>
      <c r="AI848" s="147"/>
      <c r="AJ848" s="147"/>
      <c r="AK848" s="147"/>
      <c r="AL848" s="147"/>
      <c r="AM848" s="147"/>
      <c r="AN848" s="147"/>
      <c r="AO848" s="147"/>
      <c r="AP848" s="147"/>
      <c r="AQ848" s="147"/>
      <c r="AR848" s="147"/>
      <c r="AS848" s="147"/>
      <c r="AT848" s="147"/>
      <c r="AU848" s="147"/>
      <c r="AV848" s="147"/>
      <c r="AW848" s="147"/>
      <c r="AX848" s="147"/>
      <c r="AY848" s="147"/>
      <c r="AZ848" s="147"/>
      <c r="BA848" s="147"/>
      <c r="BB848" s="147"/>
      <c r="BC848" s="147"/>
      <c r="BD848" s="147"/>
      <c r="BE848" s="147"/>
      <c r="BF848" s="147"/>
      <c r="BG848" s="147"/>
      <c r="BH848" s="147"/>
      <c r="BI848" s="147"/>
      <c r="BJ848" s="147"/>
      <c r="BK848" s="147"/>
      <c r="BL848" s="147"/>
      <c r="BM848" s="147"/>
      <c r="BN848" s="147"/>
      <c r="BO848" s="147"/>
      <c r="BP848" s="147"/>
      <c r="BQ848" s="147"/>
      <c r="BR848" s="147"/>
      <c r="BS848" s="147"/>
      <c r="BT848" s="147"/>
      <c r="BU848" s="147"/>
      <c r="BV848" s="147"/>
      <c r="BW848" s="147"/>
      <c r="BX848" s="147"/>
      <c r="BY848" s="147"/>
      <c r="BZ848" s="147"/>
      <c r="CA848" s="147"/>
      <c r="CB848" s="147"/>
      <c r="CC848" s="147"/>
      <c r="CD848" s="147"/>
      <c r="CE848" s="147"/>
      <c r="CF848" s="147"/>
      <c r="CG848" s="147"/>
      <c r="CH848" s="147"/>
      <c r="CI848" s="147"/>
      <c r="CJ848" s="147"/>
      <c r="CK848" s="147"/>
    </row>
    <row r="849" spans="1:89">
      <c r="A849" s="147"/>
      <c r="B849" s="147"/>
      <c r="C849" s="147"/>
      <c r="D849" s="147"/>
      <c r="E849" s="147"/>
      <c r="F849" s="147"/>
      <c r="G849" s="147"/>
      <c r="H849" s="147"/>
      <c r="I849" s="147"/>
      <c r="J849" s="147"/>
      <c r="K849" s="147"/>
      <c r="L849" s="147"/>
      <c r="M849" s="147"/>
      <c r="N849" s="147"/>
      <c r="O849" s="158"/>
      <c r="P849" s="147"/>
      <c r="Q849" s="147"/>
      <c r="R849" s="147"/>
      <c r="S849" s="147"/>
      <c r="T849" s="147"/>
      <c r="U849" s="147"/>
      <c r="V849" s="147"/>
      <c r="W849" s="147"/>
      <c r="X849" s="147"/>
      <c r="Y849" s="147"/>
      <c r="Z849" s="147"/>
      <c r="AA849" s="147"/>
      <c r="AB849" s="147"/>
      <c r="AC849" s="147"/>
      <c r="AD849" s="147"/>
      <c r="AE849" s="147"/>
      <c r="AF849" s="147"/>
      <c r="AG849" s="147"/>
      <c r="AH849" s="147"/>
      <c r="AI849" s="147"/>
      <c r="AJ849" s="147"/>
      <c r="AK849" s="147"/>
      <c r="AL849" s="147"/>
      <c r="AM849" s="147"/>
      <c r="AN849" s="147"/>
      <c r="AO849" s="147"/>
      <c r="AP849" s="147"/>
      <c r="AQ849" s="147"/>
      <c r="AR849" s="147"/>
      <c r="AS849" s="147"/>
      <c r="AT849" s="147"/>
      <c r="AU849" s="147"/>
      <c r="AV849" s="147"/>
      <c r="AW849" s="147"/>
      <c r="AX849" s="147"/>
      <c r="AY849" s="147"/>
      <c r="AZ849" s="147"/>
      <c r="BA849" s="147"/>
      <c r="BB849" s="147"/>
      <c r="BC849" s="147"/>
      <c r="BD849" s="147"/>
      <c r="BE849" s="147"/>
      <c r="BF849" s="147"/>
      <c r="BG849" s="147"/>
      <c r="BH849" s="147"/>
      <c r="BI849" s="147"/>
      <c r="BJ849" s="147"/>
      <c r="BK849" s="147"/>
      <c r="BL849" s="147"/>
      <c r="BM849" s="147"/>
      <c r="BN849" s="147"/>
      <c r="BO849" s="147"/>
      <c r="BP849" s="147"/>
      <c r="BQ849" s="147"/>
      <c r="BR849" s="147"/>
      <c r="BS849" s="147"/>
      <c r="BT849" s="147"/>
      <c r="BU849" s="147"/>
      <c r="BV849" s="147"/>
      <c r="BW849" s="147"/>
      <c r="BX849" s="147"/>
      <c r="BY849" s="147"/>
      <c r="BZ849" s="147"/>
      <c r="CA849" s="147"/>
      <c r="CB849" s="147"/>
      <c r="CC849" s="147"/>
      <c r="CD849" s="147"/>
      <c r="CE849" s="147"/>
      <c r="CF849" s="147"/>
      <c r="CG849" s="147"/>
      <c r="CH849" s="147"/>
      <c r="CI849" s="147"/>
      <c r="CJ849" s="147"/>
      <c r="CK849" s="147"/>
    </row>
    <row r="850" spans="1:89">
      <c r="A850" s="147"/>
      <c r="B850" s="147"/>
      <c r="C850" s="147"/>
      <c r="D850" s="147"/>
      <c r="E850" s="147"/>
      <c r="F850" s="147"/>
      <c r="G850" s="147"/>
      <c r="H850" s="147"/>
      <c r="I850" s="147"/>
      <c r="J850" s="147"/>
      <c r="K850" s="147"/>
      <c r="L850" s="147"/>
      <c r="M850" s="147"/>
      <c r="N850" s="147"/>
      <c r="O850" s="158"/>
      <c r="P850" s="147"/>
      <c r="Q850" s="147"/>
      <c r="R850" s="147"/>
      <c r="S850" s="147"/>
      <c r="T850" s="147"/>
      <c r="U850" s="147"/>
      <c r="V850" s="147"/>
      <c r="W850" s="147"/>
      <c r="X850" s="147"/>
      <c r="Y850" s="147"/>
      <c r="Z850" s="147"/>
      <c r="AA850" s="147"/>
      <c r="AB850" s="147"/>
      <c r="AC850" s="147"/>
      <c r="AD850" s="147"/>
      <c r="AE850" s="147"/>
      <c r="AF850" s="147"/>
      <c r="AG850" s="147"/>
      <c r="AH850" s="147"/>
      <c r="AI850" s="147"/>
      <c r="AJ850" s="147"/>
      <c r="AK850" s="147"/>
      <c r="AL850" s="147"/>
      <c r="AM850" s="147"/>
      <c r="AN850" s="147"/>
      <c r="AO850" s="147"/>
      <c r="AP850" s="147"/>
      <c r="AQ850" s="147"/>
      <c r="AR850" s="147"/>
      <c r="AS850" s="147"/>
      <c r="AT850" s="147"/>
      <c r="AU850" s="147"/>
      <c r="AV850" s="147"/>
      <c r="AW850" s="147"/>
      <c r="AX850" s="147"/>
      <c r="AY850" s="147"/>
      <c r="AZ850" s="147"/>
      <c r="BA850" s="147"/>
      <c r="BB850" s="147"/>
      <c r="BC850" s="147"/>
      <c r="BD850" s="147"/>
      <c r="BE850" s="147"/>
      <c r="BF850" s="147"/>
      <c r="BG850" s="147"/>
      <c r="BH850" s="147"/>
      <c r="BI850" s="147"/>
      <c r="BJ850" s="147"/>
      <c r="BK850" s="147"/>
      <c r="BL850" s="147"/>
      <c r="BM850" s="147"/>
      <c r="BN850" s="147"/>
      <c r="BO850" s="147"/>
      <c r="BP850" s="147"/>
      <c r="BQ850" s="147"/>
      <c r="BR850" s="147"/>
      <c r="BS850" s="147"/>
      <c r="BT850" s="147"/>
      <c r="BU850" s="147"/>
      <c r="BV850" s="147"/>
      <c r="BW850" s="147"/>
      <c r="BX850" s="147"/>
      <c r="BY850" s="147"/>
      <c r="BZ850" s="147"/>
      <c r="CA850" s="147"/>
      <c r="CB850" s="147"/>
      <c r="CC850" s="147"/>
      <c r="CD850" s="147"/>
      <c r="CE850" s="147"/>
      <c r="CF850" s="147"/>
      <c r="CG850" s="147"/>
      <c r="CH850" s="147"/>
      <c r="CI850" s="147"/>
      <c r="CJ850" s="147"/>
      <c r="CK850" s="147"/>
    </row>
    <row r="851" spans="1:89">
      <c r="A851" s="147"/>
      <c r="B851" s="147"/>
      <c r="C851" s="147"/>
      <c r="D851" s="147"/>
      <c r="E851" s="147"/>
      <c r="F851" s="147"/>
      <c r="G851" s="147"/>
      <c r="H851" s="147"/>
      <c r="I851" s="147"/>
      <c r="J851" s="147"/>
      <c r="K851" s="147"/>
      <c r="L851" s="147"/>
      <c r="M851" s="147"/>
      <c r="N851" s="147"/>
      <c r="O851" s="158"/>
      <c r="P851" s="147"/>
      <c r="Q851" s="147"/>
      <c r="R851" s="147"/>
      <c r="S851" s="147"/>
      <c r="T851" s="147"/>
      <c r="U851" s="147"/>
      <c r="V851" s="147"/>
      <c r="W851" s="147"/>
      <c r="X851" s="147"/>
      <c r="Y851" s="147"/>
      <c r="Z851" s="147"/>
      <c r="AA851" s="147"/>
      <c r="AB851" s="147"/>
      <c r="AC851" s="147"/>
      <c r="AD851" s="147"/>
      <c r="AE851" s="147"/>
      <c r="AF851" s="147"/>
      <c r="AG851" s="147"/>
      <c r="AH851" s="147"/>
      <c r="AI851" s="147"/>
      <c r="AJ851" s="147"/>
      <c r="AK851" s="147"/>
      <c r="AL851" s="147"/>
      <c r="AM851" s="147"/>
      <c r="AN851" s="147"/>
      <c r="AO851" s="147"/>
      <c r="AP851" s="147"/>
      <c r="AQ851" s="147"/>
      <c r="AR851" s="147"/>
      <c r="AS851" s="147"/>
      <c r="AT851" s="147"/>
      <c r="AU851" s="147"/>
      <c r="AV851" s="147"/>
      <c r="AW851" s="147"/>
      <c r="AX851" s="147"/>
      <c r="AY851" s="147"/>
      <c r="AZ851" s="147"/>
      <c r="BA851" s="147"/>
      <c r="BB851" s="147"/>
      <c r="BC851" s="147"/>
      <c r="BD851" s="147"/>
      <c r="BE851" s="147"/>
      <c r="BF851" s="147"/>
      <c r="BG851" s="147"/>
      <c r="BH851" s="147"/>
      <c r="BI851" s="147"/>
      <c r="BJ851" s="147"/>
      <c r="BK851" s="147"/>
      <c r="BL851" s="147"/>
      <c r="BM851" s="147"/>
      <c r="BN851" s="147"/>
      <c r="BO851" s="147"/>
      <c r="BP851" s="147"/>
      <c r="BQ851" s="147"/>
      <c r="BR851" s="147"/>
      <c r="BS851" s="147"/>
      <c r="BT851" s="147"/>
      <c r="BU851" s="147"/>
      <c r="BV851" s="147"/>
      <c r="BW851" s="147"/>
      <c r="BX851" s="147"/>
      <c r="BY851" s="147"/>
      <c r="BZ851" s="147"/>
      <c r="CA851" s="147"/>
      <c r="CB851" s="147"/>
      <c r="CC851" s="147"/>
      <c r="CD851" s="147"/>
      <c r="CE851" s="147"/>
      <c r="CF851" s="147"/>
      <c r="CG851" s="147"/>
      <c r="CH851" s="147"/>
      <c r="CI851" s="147"/>
      <c r="CJ851" s="147"/>
      <c r="CK851" s="147"/>
    </row>
    <row r="852" spans="1:89">
      <c r="A852" s="147"/>
      <c r="B852" s="147"/>
      <c r="C852" s="147"/>
      <c r="D852" s="147"/>
      <c r="E852" s="147"/>
      <c r="F852" s="147"/>
      <c r="G852" s="147"/>
      <c r="H852" s="147"/>
      <c r="I852" s="147"/>
      <c r="J852" s="147"/>
      <c r="K852" s="147"/>
      <c r="L852" s="147"/>
      <c r="M852" s="147"/>
      <c r="N852" s="147"/>
      <c r="O852" s="158"/>
      <c r="P852" s="147"/>
      <c r="Q852" s="147"/>
      <c r="R852" s="147"/>
      <c r="S852" s="147"/>
      <c r="T852" s="147"/>
      <c r="U852" s="147"/>
      <c r="V852" s="147"/>
      <c r="W852" s="147"/>
      <c r="X852" s="147"/>
      <c r="Y852" s="147"/>
      <c r="Z852" s="147"/>
      <c r="AA852" s="147"/>
      <c r="AB852" s="147"/>
      <c r="AC852" s="147"/>
      <c r="AD852" s="147"/>
      <c r="AE852" s="147"/>
      <c r="AF852" s="147"/>
      <c r="AG852" s="147"/>
      <c r="AH852" s="147"/>
      <c r="AI852" s="147"/>
      <c r="AJ852" s="147"/>
      <c r="AK852" s="147"/>
      <c r="AL852" s="147"/>
      <c r="AM852" s="147"/>
      <c r="AN852" s="147"/>
      <c r="AO852" s="147"/>
      <c r="AP852" s="147"/>
      <c r="AQ852" s="147"/>
      <c r="AR852" s="147"/>
      <c r="AS852" s="147"/>
      <c r="AT852" s="147"/>
      <c r="AU852" s="147"/>
      <c r="AV852" s="147"/>
      <c r="AW852" s="147"/>
      <c r="AX852" s="147"/>
      <c r="AY852" s="147"/>
      <c r="AZ852" s="147"/>
      <c r="BA852" s="147"/>
      <c r="BB852" s="147"/>
      <c r="BC852" s="147"/>
      <c r="BD852" s="147"/>
      <c r="BE852" s="147"/>
      <c r="BF852" s="147"/>
      <c r="BG852" s="147"/>
      <c r="BH852" s="147"/>
      <c r="BI852" s="147"/>
      <c r="BJ852" s="147"/>
      <c r="BK852" s="147"/>
      <c r="BL852" s="147"/>
      <c r="BM852" s="147"/>
      <c r="BN852" s="147"/>
      <c r="BO852" s="147"/>
      <c r="BP852" s="147"/>
      <c r="BQ852" s="147"/>
      <c r="BR852" s="147"/>
      <c r="BS852" s="147"/>
      <c r="BT852" s="147"/>
      <c r="BU852" s="147"/>
      <c r="BV852" s="147"/>
      <c r="BW852" s="147"/>
      <c r="BX852" s="147"/>
      <c r="BY852" s="147"/>
      <c r="BZ852" s="147"/>
      <c r="CA852" s="147"/>
      <c r="CB852" s="147"/>
      <c r="CC852" s="147"/>
      <c r="CD852" s="147"/>
      <c r="CE852" s="147"/>
      <c r="CF852" s="147"/>
      <c r="CG852" s="147"/>
      <c r="CH852" s="147"/>
      <c r="CI852" s="147"/>
      <c r="CJ852" s="147"/>
      <c r="CK852" s="147"/>
    </row>
    <row r="853" spans="1:89">
      <c r="A853" s="147"/>
      <c r="B853" s="147"/>
      <c r="C853" s="147"/>
      <c r="D853" s="147"/>
      <c r="E853" s="147"/>
      <c r="F853" s="147"/>
      <c r="G853" s="147"/>
      <c r="H853" s="147"/>
      <c r="I853" s="147"/>
      <c r="J853" s="147"/>
      <c r="K853" s="147"/>
      <c r="L853" s="147"/>
      <c r="M853" s="147"/>
      <c r="N853" s="147"/>
      <c r="O853" s="158"/>
      <c r="P853" s="147"/>
      <c r="Q853" s="147"/>
      <c r="R853" s="147"/>
      <c r="S853" s="147"/>
      <c r="T853" s="147"/>
      <c r="U853" s="147"/>
      <c r="V853" s="147"/>
      <c r="W853" s="147"/>
      <c r="X853" s="147"/>
      <c r="Y853" s="147"/>
      <c r="Z853" s="147"/>
      <c r="AA853" s="147"/>
      <c r="AB853" s="147"/>
      <c r="AC853" s="147"/>
      <c r="AD853" s="147"/>
      <c r="AE853" s="147"/>
      <c r="AF853" s="147"/>
      <c r="AG853" s="147"/>
      <c r="AH853" s="147"/>
      <c r="AI853" s="147"/>
      <c r="AJ853" s="147"/>
      <c r="AK853" s="147"/>
      <c r="AL853" s="147"/>
      <c r="AM853" s="147"/>
      <c r="AN853" s="147"/>
      <c r="AO853" s="147"/>
      <c r="AP853" s="147"/>
      <c r="AQ853" s="147"/>
      <c r="AR853" s="147"/>
      <c r="AS853" s="147"/>
      <c r="AT853" s="147"/>
      <c r="AU853" s="147"/>
      <c r="AV853" s="147"/>
      <c r="AW853" s="147"/>
      <c r="AX853" s="147"/>
      <c r="AY853" s="147"/>
      <c r="AZ853" s="147"/>
      <c r="BA853" s="147"/>
      <c r="BB853" s="147"/>
      <c r="BC853" s="147"/>
      <c r="BD853" s="147"/>
      <c r="BE853" s="147"/>
      <c r="BF853" s="147"/>
      <c r="BG853" s="147"/>
      <c r="BH853" s="147"/>
      <c r="BI853" s="147"/>
      <c r="BJ853" s="147"/>
      <c r="BK853" s="147"/>
      <c r="BL853" s="147"/>
      <c r="BM853" s="147"/>
      <c r="BN853" s="147"/>
      <c r="BO853" s="147"/>
      <c r="BP853" s="147"/>
      <c r="BQ853" s="147"/>
      <c r="BR853" s="147"/>
      <c r="BS853" s="147"/>
      <c r="BT853" s="147"/>
      <c r="BU853" s="147"/>
      <c r="BV853" s="147"/>
      <c r="BW853" s="147"/>
      <c r="BX853" s="147"/>
      <c r="BY853" s="147"/>
      <c r="BZ853" s="147"/>
      <c r="CA853" s="147"/>
      <c r="CB853" s="147"/>
      <c r="CC853" s="147"/>
      <c r="CD853" s="147"/>
      <c r="CE853" s="147"/>
      <c r="CF853" s="147"/>
      <c r="CG853" s="147"/>
      <c r="CH853" s="147"/>
      <c r="CI853" s="147"/>
      <c r="CJ853" s="147"/>
      <c r="CK853" s="147"/>
    </row>
    <row r="854" spans="1:89">
      <c r="A854" s="147"/>
      <c r="B854" s="147"/>
      <c r="C854" s="147"/>
      <c r="D854" s="147"/>
      <c r="E854" s="147"/>
      <c r="F854" s="147"/>
      <c r="G854" s="147"/>
      <c r="H854" s="147"/>
      <c r="I854" s="147"/>
      <c r="J854" s="147"/>
      <c r="K854" s="147"/>
      <c r="L854" s="147"/>
      <c r="M854" s="147"/>
      <c r="N854" s="147"/>
      <c r="O854" s="158"/>
      <c r="P854" s="147"/>
      <c r="Q854" s="147"/>
      <c r="R854" s="147"/>
      <c r="S854" s="147"/>
      <c r="T854" s="147"/>
      <c r="U854" s="147"/>
      <c r="V854" s="147"/>
      <c r="W854" s="147"/>
      <c r="X854" s="147"/>
      <c r="Y854" s="147"/>
      <c r="Z854" s="147"/>
      <c r="AA854" s="147"/>
      <c r="AB854" s="147"/>
      <c r="AC854" s="147"/>
      <c r="AD854" s="147"/>
      <c r="AE854" s="147"/>
      <c r="AF854" s="147"/>
      <c r="AG854" s="147"/>
      <c r="AH854" s="147"/>
      <c r="AI854" s="147"/>
      <c r="AJ854" s="147"/>
      <c r="AK854" s="147"/>
      <c r="AL854" s="147"/>
      <c r="AM854" s="147"/>
      <c r="AN854" s="147"/>
      <c r="AO854" s="147"/>
      <c r="AP854" s="147"/>
      <c r="AQ854" s="147"/>
      <c r="AR854" s="147"/>
      <c r="AS854" s="147"/>
      <c r="AT854" s="147"/>
      <c r="AU854" s="147"/>
      <c r="AV854" s="147"/>
      <c r="AW854" s="147"/>
      <c r="AX854" s="147"/>
      <c r="AY854" s="147"/>
      <c r="AZ854" s="147"/>
      <c r="BA854" s="147"/>
      <c r="BB854" s="147"/>
      <c r="BC854" s="147"/>
      <c r="BD854" s="147"/>
      <c r="BE854" s="147"/>
      <c r="BF854" s="147"/>
      <c r="BG854" s="147"/>
      <c r="BH854" s="147"/>
      <c r="BI854" s="147"/>
      <c r="BJ854" s="147"/>
      <c r="BK854" s="147"/>
      <c r="BL854" s="147"/>
      <c r="BM854" s="147"/>
      <c r="BN854" s="147"/>
      <c r="BO854" s="147"/>
      <c r="BP854" s="147"/>
      <c r="BQ854" s="147"/>
      <c r="BR854" s="147"/>
      <c r="BS854" s="147"/>
      <c r="BT854" s="147"/>
      <c r="BU854" s="147"/>
      <c r="BV854" s="147"/>
      <c r="BW854" s="147"/>
      <c r="BX854" s="147"/>
      <c r="BY854" s="147"/>
      <c r="BZ854" s="147"/>
      <c r="CA854" s="147"/>
      <c r="CB854" s="147"/>
      <c r="CC854" s="147"/>
      <c r="CD854" s="147"/>
      <c r="CE854" s="147"/>
      <c r="CF854" s="147"/>
      <c r="CG854" s="147"/>
      <c r="CH854" s="147"/>
      <c r="CI854" s="147"/>
      <c r="CJ854" s="147"/>
      <c r="CK854" s="147"/>
    </row>
    <row r="855" spans="1:89">
      <c r="A855" s="147"/>
      <c r="B855" s="147"/>
      <c r="C855" s="147"/>
      <c r="D855" s="147"/>
      <c r="E855" s="147"/>
      <c r="F855" s="147"/>
      <c r="G855" s="147"/>
      <c r="H855" s="147"/>
      <c r="I855" s="147"/>
      <c r="J855" s="147"/>
      <c r="K855" s="147"/>
      <c r="L855" s="147"/>
      <c r="M855" s="147"/>
      <c r="N855" s="147"/>
      <c r="O855" s="158"/>
      <c r="P855" s="147"/>
      <c r="Q855" s="147"/>
      <c r="R855" s="147"/>
      <c r="S855" s="147"/>
      <c r="T855" s="147"/>
      <c r="U855" s="147"/>
      <c r="V855" s="147"/>
      <c r="W855" s="147"/>
      <c r="X855" s="147"/>
      <c r="Y855" s="147"/>
      <c r="Z855" s="147"/>
      <c r="AA855" s="147"/>
      <c r="AB855" s="147"/>
      <c r="AC855" s="147"/>
      <c r="AD855" s="147"/>
      <c r="AE855" s="147"/>
      <c r="AF855" s="147"/>
      <c r="AG855" s="147"/>
      <c r="AH855" s="147"/>
      <c r="AI855" s="147"/>
      <c r="AJ855" s="147"/>
      <c r="AK855" s="147"/>
      <c r="AL855" s="147"/>
      <c r="AM855" s="147"/>
      <c r="AN855" s="147"/>
      <c r="AO855" s="147"/>
      <c r="AP855" s="147"/>
      <c r="AQ855" s="147"/>
      <c r="AR855" s="147"/>
      <c r="AS855" s="147"/>
      <c r="AT855" s="147"/>
      <c r="AU855" s="147"/>
      <c r="AV855" s="147"/>
      <c r="AW855" s="147"/>
      <c r="AX855" s="147"/>
      <c r="AY855" s="147"/>
      <c r="AZ855" s="147"/>
      <c r="BA855" s="147"/>
      <c r="BB855" s="147"/>
      <c r="BC855" s="147"/>
      <c r="BD855" s="147"/>
      <c r="BE855" s="147"/>
      <c r="BF855" s="147"/>
      <c r="BG855" s="147"/>
      <c r="BH855" s="147"/>
      <c r="BI855" s="147"/>
      <c r="BJ855" s="147"/>
      <c r="BK855" s="147"/>
      <c r="BL855" s="147"/>
      <c r="BM855" s="147"/>
      <c r="BN855" s="147"/>
      <c r="BO855" s="147"/>
      <c r="BP855" s="147"/>
      <c r="BQ855" s="147"/>
      <c r="BR855" s="147"/>
      <c r="BS855" s="147"/>
      <c r="BT855" s="147"/>
      <c r="BU855" s="147"/>
      <c r="BV855" s="147"/>
      <c r="BW855" s="147"/>
      <c r="BX855" s="147"/>
      <c r="BY855" s="147"/>
      <c r="BZ855" s="147"/>
      <c r="CA855" s="147"/>
      <c r="CB855" s="147"/>
      <c r="CC855" s="147"/>
      <c r="CD855" s="147"/>
      <c r="CE855" s="147"/>
      <c r="CF855" s="147"/>
      <c r="CG855" s="147"/>
      <c r="CH855" s="147"/>
      <c r="CI855" s="147"/>
      <c r="CJ855" s="147"/>
      <c r="CK855" s="147"/>
    </row>
    <row r="856" spans="1:89">
      <c r="A856" s="147"/>
      <c r="B856" s="147"/>
      <c r="C856" s="147"/>
      <c r="D856" s="147"/>
      <c r="E856" s="147"/>
      <c r="F856" s="147"/>
      <c r="G856" s="147"/>
      <c r="H856" s="147"/>
      <c r="I856" s="147"/>
      <c r="J856" s="147"/>
      <c r="K856" s="147"/>
      <c r="L856" s="147"/>
      <c r="M856" s="147"/>
      <c r="N856" s="147"/>
      <c r="O856" s="158"/>
      <c r="P856" s="147"/>
      <c r="Q856" s="147"/>
      <c r="R856" s="147"/>
      <c r="S856" s="147"/>
      <c r="T856" s="147"/>
      <c r="U856" s="147"/>
      <c r="V856" s="147"/>
      <c r="W856" s="147"/>
      <c r="X856" s="147"/>
      <c r="Y856" s="147"/>
      <c r="Z856" s="147"/>
      <c r="AA856" s="147"/>
      <c r="AB856" s="147"/>
      <c r="AC856" s="147"/>
      <c r="AD856" s="147"/>
      <c r="AE856" s="147"/>
      <c r="AF856" s="147"/>
      <c r="AG856" s="147"/>
      <c r="AH856" s="147"/>
      <c r="AI856" s="147"/>
      <c r="AJ856" s="147"/>
      <c r="AK856" s="147"/>
      <c r="AL856" s="147"/>
      <c r="AM856" s="147"/>
      <c r="AN856" s="147"/>
      <c r="AO856" s="147"/>
      <c r="AP856" s="147"/>
      <c r="AQ856" s="147"/>
      <c r="AR856" s="147"/>
      <c r="AS856" s="147"/>
      <c r="AT856" s="147"/>
      <c r="AU856" s="147"/>
      <c r="AV856" s="147"/>
      <c r="AW856" s="147"/>
      <c r="AX856" s="147"/>
      <c r="AY856" s="147"/>
      <c r="AZ856" s="147"/>
      <c r="BA856" s="147"/>
      <c r="BB856" s="147"/>
      <c r="BC856" s="147"/>
      <c r="BD856" s="147"/>
      <c r="BE856" s="147"/>
      <c r="BF856" s="147"/>
      <c r="BG856" s="147"/>
      <c r="BH856" s="147"/>
      <c r="BI856" s="147"/>
      <c r="BJ856" s="147"/>
      <c r="BK856" s="147"/>
      <c r="BL856" s="147"/>
      <c r="BM856" s="147"/>
      <c r="BN856" s="147"/>
      <c r="BO856" s="147"/>
      <c r="BP856" s="147"/>
      <c r="BQ856" s="147"/>
      <c r="BR856" s="147"/>
      <c r="BS856" s="147"/>
      <c r="BT856" s="147"/>
      <c r="BU856" s="147"/>
      <c r="BV856" s="147"/>
      <c r="BW856" s="147"/>
      <c r="BX856" s="147"/>
      <c r="BY856" s="147"/>
      <c r="BZ856" s="147"/>
      <c r="CA856" s="147"/>
      <c r="CB856" s="147"/>
      <c r="CC856" s="147"/>
      <c r="CD856" s="147"/>
      <c r="CE856" s="147"/>
      <c r="CF856" s="147"/>
      <c r="CG856" s="147"/>
      <c r="CH856" s="147"/>
      <c r="CI856" s="147"/>
      <c r="CJ856" s="147"/>
      <c r="CK856" s="147"/>
    </row>
    <row r="857" spans="1:89">
      <c r="A857" s="147"/>
      <c r="B857" s="147"/>
      <c r="C857" s="147"/>
      <c r="D857" s="147"/>
      <c r="E857" s="147"/>
      <c r="F857" s="147"/>
      <c r="G857" s="147"/>
      <c r="H857" s="147"/>
      <c r="I857" s="147"/>
      <c r="J857" s="147"/>
      <c r="K857" s="147"/>
      <c r="L857" s="147"/>
      <c r="M857" s="147"/>
      <c r="N857" s="147"/>
      <c r="O857" s="158"/>
      <c r="P857" s="147"/>
      <c r="Q857" s="147"/>
      <c r="R857" s="147"/>
      <c r="S857" s="147"/>
      <c r="T857" s="147"/>
      <c r="U857" s="147"/>
      <c r="V857" s="147"/>
      <c r="W857" s="147"/>
      <c r="X857" s="147"/>
      <c r="Y857" s="147"/>
      <c r="Z857" s="147"/>
      <c r="AA857" s="147"/>
      <c r="AB857" s="147"/>
      <c r="AC857" s="147"/>
      <c r="AD857" s="147"/>
      <c r="AE857" s="147"/>
      <c r="AF857" s="147"/>
      <c r="AG857" s="147"/>
      <c r="AH857" s="147"/>
      <c r="AI857" s="147"/>
      <c r="AJ857" s="147"/>
      <c r="AK857" s="147"/>
      <c r="AL857" s="147"/>
      <c r="AM857" s="147"/>
      <c r="AN857" s="147"/>
      <c r="AO857" s="147"/>
      <c r="AP857" s="147"/>
      <c r="AQ857" s="147"/>
      <c r="AR857" s="147"/>
      <c r="AS857" s="147"/>
      <c r="AT857" s="147"/>
      <c r="AU857" s="147"/>
      <c r="AV857" s="147"/>
      <c r="AW857" s="147"/>
      <c r="AX857" s="147"/>
      <c r="AY857" s="147"/>
      <c r="AZ857" s="147"/>
      <c r="BA857" s="147"/>
      <c r="BB857" s="147"/>
      <c r="BC857" s="147"/>
      <c r="BD857" s="147"/>
      <c r="BE857" s="147"/>
      <c r="BF857" s="147"/>
      <c r="BG857" s="147"/>
      <c r="BH857" s="147"/>
      <c r="BI857" s="147"/>
      <c r="BJ857" s="147"/>
      <c r="BK857" s="147"/>
      <c r="BL857" s="147"/>
      <c r="BM857" s="147"/>
      <c r="BN857" s="147"/>
      <c r="BO857" s="147"/>
      <c r="BP857" s="147"/>
      <c r="BQ857" s="147"/>
      <c r="BR857" s="147"/>
      <c r="BS857" s="147"/>
      <c r="BT857" s="147"/>
      <c r="BU857" s="147"/>
      <c r="BV857" s="147"/>
      <c r="BW857" s="147"/>
      <c r="BX857" s="147"/>
      <c r="BY857" s="147"/>
      <c r="BZ857" s="147"/>
      <c r="CA857" s="147"/>
      <c r="CB857" s="147"/>
      <c r="CC857" s="147"/>
      <c r="CD857" s="147"/>
      <c r="CE857" s="147"/>
      <c r="CF857" s="147"/>
      <c r="CG857" s="147"/>
      <c r="CH857" s="147"/>
      <c r="CI857" s="147"/>
      <c r="CJ857" s="147"/>
      <c r="CK857" s="147"/>
    </row>
    <row r="858" spans="1:89">
      <c r="A858" s="147"/>
      <c r="B858" s="147"/>
      <c r="C858" s="147"/>
      <c r="D858" s="147"/>
      <c r="E858" s="147"/>
      <c r="F858" s="147"/>
      <c r="G858" s="147"/>
      <c r="H858" s="147"/>
      <c r="I858" s="147"/>
      <c r="J858" s="147"/>
      <c r="K858" s="147"/>
      <c r="L858" s="147"/>
      <c r="M858" s="147"/>
      <c r="N858" s="147"/>
      <c r="O858" s="158"/>
      <c r="P858" s="147"/>
      <c r="Q858" s="147"/>
      <c r="R858" s="147"/>
      <c r="S858" s="147"/>
      <c r="T858" s="147"/>
      <c r="U858" s="147"/>
      <c r="V858" s="147"/>
      <c r="W858" s="147"/>
      <c r="X858" s="147"/>
      <c r="Y858" s="147"/>
      <c r="Z858" s="147"/>
      <c r="AA858" s="147"/>
      <c r="AB858" s="147"/>
      <c r="AC858" s="147"/>
      <c r="AD858" s="147"/>
      <c r="AE858" s="147"/>
      <c r="AF858" s="147"/>
      <c r="AG858" s="147"/>
      <c r="AH858" s="147"/>
      <c r="AI858" s="147"/>
      <c r="AJ858" s="147"/>
      <c r="AK858" s="147"/>
      <c r="AL858" s="147"/>
      <c r="AM858" s="147"/>
      <c r="AN858" s="147"/>
      <c r="AO858" s="147"/>
      <c r="AP858" s="147"/>
      <c r="AQ858" s="147"/>
      <c r="AR858" s="147"/>
      <c r="AS858" s="147"/>
      <c r="AT858" s="147"/>
      <c r="AU858" s="147"/>
      <c r="AV858" s="147"/>
      <c r="AW858" s="147"/>
      <c r="AX858" s="147"/>
      <c r="AY858" s="147"/>
      <c r="AZ858" s="147"/>
      <c r="BA858" s="147"/>
      <c r="BB858" s="147"/>
      <c r="BC858" s="147"/>
      <c r="BD858" s="147"/>
      <c r="BE858" s="147"/>
      <c r="BF858" s="147"/>
      <c r="BG858" s="147"/>
      <c r="BH858" s="147"/>
      <c r="BI858" s="147"/>
      <c r="BJ858" s="147"/>
      <c r="BK858" s="147"/>
      <c r="BL858" s="147"/>
      <c r="BM858" s="147"/>
      <c r="BN858" s="147"/>
      <c r="BO858" s="147"/>
      <c r="BP858" s="147"/>
      <c r="BQ858" s="147"/>
      <c r="BR858" s="147"/>
      <c r="BS858" s="147"/>
      <c r="BT858" s="147"/>
      <c r="BU858" s="147"/>
      <c r="BV858" s="147"/>
      <c r="BW858" s="147"/>
      <c r="BX858" s="147"/>
      <c r="BY858" s="147"/>
      <c r="BZ858" s="147"/>
      <c r="CA858" s="147"/>
      <c r="CB858" s="147"/>
      <c r="CC858" s="147"/>
      <c r="CD858" s="147"/>
      <c r="CE858" s="147"/>
      <c r="CF858" s="147"/>
      <c r="CG858" s="147"/>
      <c r="CH858" s="147"/>
      <c r="CI858" s="147"/>
      <c r="CJ858" s="147"/>
      <c r="CK858" s="147"/>
    </row>
    <row r="859" spans="1:89">
      <c r="A859" s="147"/>
      <c r="B859" s="147"/>
      <c r="C859" s="147"/>
      <c r="D859" s="147"/>
      <c r="E859" s="147"/>
      <c r="F859" s="147"/>
      <c r="G859" s="147"/>
      <c r="H859" s="147"/>
      <c r="I859" s="147"/>
      <c r="J859" s="147"/>
      <c r="K859" s="147"/>
      <c r="L859" s="147"/>
      <c r="M859" s="147"/>
      <c r="N859" s="147"/>
      <c r="O859" s="158"/>
      <c r="P859" s="147"/>
      <c r="Q859" s="147"/>
      <c r="R859" s="147"/>
      <c r="S859" s="147"/>
      <c r="T859" s="147"/>
      <c r="U859" s="147"/>
      <c r="V859" s="147"/>
      <c r="W859" s="147"/>
      <c r="X859" s="147"/>
      <c r="Y859" s="147"/>
      <c r="Z859" s="147"/>
      <c r="AA859" s="147"/>
      <c r="AB859" s="147"/>
      <c r="AC859" s="147"/>
      <c r="AD859" s="147"/>
      <c r="AE859" s="147"/>
      <c r="AF859" s="147"/>
      <c r="AG859" s="147"/>
      <c r="AH859" s="147"/>
      <c r="AI859" s="147"/>
      <c r="AJ859" s="147"/>
      <c r="AK859" s="147"/>
      <c r="AL859" s="147"/>
      <c r="AM859" s="147"/>
      <c r="AN859" s="147"/>
      <c r="AO859" s="147"/>
      <c r="AP859" s="147"/>
      <c r="AQ859" s="147"/>
      <c r="AR859" s="147"/>
      <c r="AS859" s="147"/>
      <c r="AT859" s="147"/>
      <c r="AU859" s="147"/>
      <c r="AV859" s="147"/>
      <c r="AW859" s="147"/>
      <c r="AX859" s="147"/>
      <c r="AY859" s="147"/>
      <c r="AZ859" s="147"/>
      <c r="BA859" s="147"/>
      <c r="BB859" s="147"/>
      <c r="BC859" s="147"/>
      <c r="BD859" s="147"/>
      <c r="BE859" s="147"/>
      <c r="BF859" s="147"/>
      <c r="BG859" s="147"/>
      <c r="BH859" s="147"/>
      <c r="BI859" s="147"/>
      <c r="BJ859" s="147"/>
      <c r="BK859" s="147"/>
      <c r="BL859" s="147"/>
      <c r="BM859" s="147"/>
      <c r="BN859" s="147"/>
      <c r="BO859" s="147"/>
      <c r="BP859" s="147"/>
      <c r="BQ859" s="147"/>
      <c r="BR859" s="147"/>
      <c r="BS859" s="147"/>
      <c r="BT859" s="147"/>
      <c r="BU859" s="147"/>
      <c r="BV859" s="147"/>
      <c r="BW859" s="147"/>
      <c r="BX859" s="147"/>
      <c r="BY859" s="147"/>
      <c r="BZ859" s="147"/>
      <c r="CA859" s="147"/>
      <c r="CB859" s="147"/>
      <c r="CC859" s="147"/>
      <c r="CD859" s="147"/>
      <c r="CE859" s="147"/>
      <c r="CF859" s="147"/>
      <c r="CG859" s="147"/>
      <c r="CH859" s="147"/>
      <c r="CI859" s="147"/>
      <c r="CJ859" s="147"/>
      <c r="CK859" s="147"/>
    </row>
    <row r="860" spans="1:89">
      <c r="A860" s="147"/>
      <c r="B860" s="147"/>
      <c r="C860" s="147"/>
      <c r="D860" s="147"/>
      <c r="E860" s="147"/>
      <c r="F860" s="147"/>
      <c r="G860" s="147"/>
      <c r="H860" s="147"/>
      <c r="I860" s="147"/>
      <c r="J860" s="147"/>
      <c r="K860" s="147"/>
      <c r="L860" s="147"/>
      <c r="M860" s="147"/>
      <c r="N860" s="147"/>
      <c r="O860" s="158"/>
      <c r="P860" s="147"/>
      <c r="Q860" s="147"/>
      <c r="R860" s="147"/>
      <c r="S860" s="147"/>
      <c r="T860" s="147"/>
      <c r="U860" s="147"/>
      <c r="V860" s="147"/>
      <c r="W860" s="147"/>
      <c r="X860" s="147"/>
      <c r="Y860" s="147"/>
      <c r="Z860" s="147"/>
      <c r="AA860" s="147"/>
      <c r="AB860" s="147"/>
      <c r="AC860" s="147"/>
      <c r="AD860" s="147"/>
      <c r="AE860" s="147"/>
      <c r="AF860" s="147"/>
      <c r="AG860" s="147"/>
      <c r="AH860" s="147"/>
      <c r="AI860" s="147"/>
      <c r="AJ860" s="147"/>
      <c r="AK860" s="147"/>
      <c r="AL860" s="147"/>
      <c r="AM860" s="147"/>
      <c r="AN860" s="147"/>
      <c r="AO860" s="147"/>
      <c r="AP860" s="147"/>
      <c r="AQ860" s="147"/>
      <c r="AR860" s="147"/>
      <c r="AS860" s="147"/>
      <c r="AT860" s="147"/>
      <c r="AU860" s="147"/>
      <c r="AV860" s="147"/>
      <c r="AW860" s="147"/>
      <c r="AX860" s="147"/>
      <c r="AY860" s="147"/>
      <c r="AZ860" s="147"/>
      <c r="BA860" s="147"/>
      <c r="BB860" s="147"/>
      <c r="BC860" s="147"/>
      <c r="BD860" s="147"/>
      <c r="BE860" s="147"/>
      <c r="BF860" s="147"/>
      <c r="BG860" s="147"/>
      <c r="BH860" s="147"/>
      <c r="BI860" s="147"/>
      <c r="BJ860" s="147"/>
      <c r="BK860" s="147"/>
      <c r="BL860" s="147"/>
      <c r="BM860" s="147"/>
      <c r="BN860" s="147"/>
      <c r="BO860" s="147"/>
      <c r="BP860" s="147"/>
      <c r="BQ860" s="147"/>
      <c r="BR860" s="147"/>
      <c r="BS860" s="147"/>
      <c r="BT860" s="147"/>
      <c r="BU860" s="147"/>
      <c r="BV860" s="147"/>
      <c r="BW860" s="147"/>
      <c r="BX860" s="147"/>
      <c r="BY860" s="147"/>
      <c r="BZ860" s="147"/>
      <c r="CA860" s="147"/>
      <c r="CB860" s="147"/>
      <c r="CC860" s="147"/>
      <c r="CD860" s="147"/>
      <c r="CE860" s="147"/>
      <c r="CF860" s="147"/>
      <c r="CG860" s="147"/>
      <c r="CH860" s="147"/>
      <c r="CI860" s="147"/>
      <c r="CJ860" s="147"/>
      <c r="CK860" s="147"/>
    </row>
    <row r="861" spans="1:89">
      <c r="A861" s="147"/>
      <c r="B861" s="147"/>
      <c r="C861" s="147"/>
      <c r="D861" s="147"/>
      <c r="E861" s="147"/>
      <c r="F861" s="147"/>
      <c r="G861" s="147"/>
      <c r="H861" s="147"/>
      <c r="I861" s="147"/>
      <c r="J861" s="147"/>
      <c r="K861" s="147"/>
      <c r="L861" s="147"/>
      <c r="M861" s="147"/>
      <c r="N861" s="147"/>
      <c r="O861" s="158"/>
      <c r="P861" s="147"/>
      <c r="Q861" s="147"/>
      <c r="R861" s="147"/>
      <c r="S861" s="147"/>
      <c r="T861" s="147"/>
      <c r="U861" s="147"/>
      <c r="V861" s="147"/>
      <c r="W861" s="147"/>
      <c r="X861" s="147"/>
      <c r="Y861" s="147"/>
      <c r="Z861" s="147"/>
      <c r="AA861" s="147"/>
      <c r="AB861" s="147"/>
      <c r="AC861" s="147"/>
      <c r="AD861" s="147"/>
      <c r="AE861" s="147"/>
      <c r="AF861" s="147"/>
      <c r="AG861" s="147"/>
      <c r="AH861" s="147"/>
      <c r="AI861" s="147"/>
      <c r="AJ861" s="147"/>
      <c r="AK861" s="147"/>
      <c r="AL861" s="147"/>
      <c r="AM861" s="147"/>
      <c r="AN861" s="147"/>
      <c r="AO861" s="147"/>
      <c r="AP861" s="147"/>
      <c r="AQ861" s="147"/>
      <c r="AR861" s="147"/>
      <c r="AS861" s="147"/>
      <c r="AT861" s="147"/>
      <c r="AU861" s="147"/>
      <c r="AV861" s="147"/>
      <c r="AW861" s="147"/>
      <c r="AX861" s="147"/>
      <c r="AY861" s="147"/>
      <c r="AZ861" s="147"/>
      <c r="BA861" s="147"/>
      <c r="BB861" s="147"/>
      <c r="BC861" s="147"/>
      <c r="BD861" s="147"/>
      <c r="BE861" s="147"/>
      <c r="BF861" s="147"/>
      <c r="BG861" s="147"/>
      <c r="BH861" s="147"/>
      <c r="BI861" s="147"/>
      <c r="BJ861" s="147"/>
      <c r="BK861" s="147"/>
      <c r="BL861" s="147"/>
      <c r="BM861" s="147"/>
      <c r="BN861" s="147"/>
      <c r="BO861" s="147"/>
      <c r="BP861" s="147"/>
      <c r="BQ861" s="147"/>
      <c r="BR861" s="147"/>
      <c r="BS861" s="147"/>
      <c r="BT861" s="147"/>
      <c r="BU861" s="147"/>
      <c r="BV861" s="147"/>
      <c r="BW861" s="147"/>
      <c r="BX861" s="147"/>
      <c r="BY861" s="147"/>
      <c r="BZ861" s="147"/>
      <c r="CA861" s="147"/>
      <c r="CB861" s="147"/>
      <c r="CC861" s="147"/>
      <c r="CD861" s="147"/>
      <c r="CE861" s="147"/>
      <c r="CF861" s="147"/>
      <c r="CG861" s="147"/>
      <c r="CH861" s="147"/>
      <c r="CI861" s="147"/>
      <c r="CJ861" s="147"/>
      <c r="CK861" s="147"/>
    </row>
    <row r="862" spans="1:89">
      <c r="A862" s="147"/>
      <c r="B862" s="147"/>
      <c r="C862" s="147"/>
      <c r="D862" s="147"/>
      <c r="E862" s="147"/>
      <c r="F862" s="147"/>
      <c r="G862" s="147"/>
      <c r="H862" s="147"/>
      <c r="I862" s="147"/>
      <c r="J862" s="147"/>
      <c r="K862" s="147"/>
      <c r="L862" s="147"/>
      <c r="M862" s="147"/>
      <c r="N862" s="147"/>
      <c r="O862" s="158"/>
      <c r="P862" s="147"/>
      <c r="Q862" s="147"/>
      <c r="R862" s="147"/>
      <c r="S862" s="147"/>
      <c r="T862" s="147"/>
      <c r="U862" s="147"/>
      <c r="V862" s="147"/>
      <c r="W862" s="147"/>
      <c r="X862" s="147"/>
      <c r="Y862" s="147"/>
      <c r="Z862" s="147"/>
      <c r="AA862" s="147"/>
      <c r="AB862" s="147"/>
      <c r="AC862" s="147"/>
      <c r="AD862" s="147"/>
      <c r="AE862" s="147"/>
      <c r="AF862" s="147"/>
      <c r="AG862" s="147"/>
      <c r="AH862" s="147"/>
      <c r="AI862" s="147"/>
      <c r="AJ862" s="147"/>
      <c r="AK862" s="147"/>
      <c r="AL862" s="147"/>
      <c r="AM862" s="147"/>
      <c r="AN862" s="147"/>
      <c r="AO862" s="147"/>
      <c r="AP862" s="147"/>
      <c r="AQ862" s="147"/>
      <c r="AR862" s="147"/>
      <c r="AS862" s="147"/>
      <c r="AT862" s="147"/>
      <c r="AU862" s="147"/>
      <c r="AV862" s="147"/>
      <c r="AW862" s="147"/>
      <c r="AX862" s="147"/>
      <c r="AY862" s="147"/>
      <c r="AZ862" s="147"/>
      <c r="BA862" s="147"/>
      <c r="BB862" s="147"/>
      <c r="BC862" s="147"/>
      <c r="BD862" s="147"/>
      <c r="BE862" s="147"/>
      <c r="BF862" s="147"/>
      <c r="BG862" s="147"/>
      <c r="BH862" s="147"/>
      <c r="BI862" s="147"/>
      <c r="BJ862" s="147"/>
      <c r="BK862" s="147"/>
      <c r="BL862" s="147"/>
      <c r="BM862" s="147"/>
      <c r="BN862" s="147"/>
      <c r="BO862" s="147"/>
      <c r="BP862" s="147"/>
      <c r="BQ862" s="147"/>
      <c r="BR862" s="147"/>
      <c r="BS862" s="147"/>
      <c r="BT862" s="147"/>
      <c r="BU862" s="147"/>
      <c r="BV862" s="147"/>
      <c r="BW862" s="147"/>
      <c r="BX862" s="147"/>
      <c r="BY862" s="147"/>
      <c r="BZ862" s="147"/>
      <c r="CA862" s="147"/>
      <c r="CB862" s="147"/>
      <c r="CC862" s="147"/>
      <c r="CD862" s="147"/>
      <c r="CE862" s="147"/>
      <c r="CF862" s="147"/>
      <c r="CG862" s="147"/>
      <c r="CH862" s="147"/>
      <c r="CI862" s="147"/>
      <c r="CJ862" s="147"/>
      <c r="CK862" s="147"/>
    </row>
    <row r="863" spans="1:89">
      <c r="A863" s="147"/>
      <c r="B863" s="147"/>
      <c r="C863" s="147"/>
      <c r="D863" s="147"/>
      <c r="E863" s="147"/>
      <c r="F863" s="147"/>
      <c r="G863" s="147"/>
      <c r="H863" s="147"/>
      <c r="I863" s="147"/>
      <c r="J863" s="147"/>
      <c r="K863" s="147"/>
      <c r="L863" s="147"/>
      <c r="M863" s="147"/>
      <c r="N863" s="147"/>
      <c r="O863" s="158"/>
      <c r="P863" s="147"/>
      <c r="Q863" s="147"/>
      <c r="R863" s="147"/>
      <c r="S863" s="147"/>
      <c r="T863" s="147"/>
      <c r="U863" s="147"/>
      <c r="V863" s="147"/>
      <c r="W863" s="147"/>
      <c r="X863" s="147"/>
      <c r="Y863" s="147"/>
      <c r="Z863" s="147"/>
      <c r="AA863" s="147"/>
      <c r="AB863" s="147"/>
      <c r="AC863" s="147"/>
      <c r="AD863" s="147"/>
      <c r="AE863" s="147"/>
      <c r="AF863" s="147"/>
      <c r="AG863" s="147"/>
      <c r="AH863" s="147"/>
      <c r="AI863" s="147"/>
      <c r="AJ863" s="147"/>
      <c r="AK863" s="147"/>
      <c r="AL863" s="147"/>
      <c r="AM863" s="147"/>
      <c r="AN863" s="147"/>
      <c r="AO863" s="147"/>
      <c r="AP863" s="147"/>
      <c r="AQ863" s="147"/>
      <c r="AR863" s="147"/>
      <c r="AS863" s="147"/>
      <c r="AT863" s="147"/>
      <c r="AU863" s="147"/>
      <c r="AV863" s="147"/>
      <c r="AW863" s="147"/>
      <c r="AX863" s="147"/>
      <c r="AY863" s="147"/>
      <c r="AZ863" s="147"/>
      <c r="BA863" s="147"/>
      <c r="BB863" s="147"/>
      <c r="BC863" s="147"/>
      <c r="BD863" s="147"/>
      <c r="BE863" s="147"/>
      <c r="BF863" s="147"/>
      <c r="BG863" s="147"/>
      <c r="BH863" s="147"/>
      <c r="BI863" s="147"/>
      <c r="BJ863" s="147"/>
      <c r="BK863" s="147"/>
      <c r="BL863" s="147"/>
      <c r="BM863" s="147"/>
      <c r="BN863" s="147"/>
      <c r="BO863" s="147"/>
      <c r="BP863" s="147"/>
      <c r="BQ863" s="147"/>
      <c r="BR863" s="147"/>
      <c r="BS863" s="147"/>
      <c r="BT863" s="147"/>
      <c r="BU863" s="147"/>
      <c r="BV863" s="147"/>
      <c r="BW863" s="147"/>
      <c r="BX863" s="147"/>
      <c r="BY863" s="147"/>
      <c r="BZ863" s="147"/>
      <c r="CA863" s="147"/>
      <c r="CB863" s="147"/>
      <c r="CC863" s="147"/>
      <c r="CD863" s="147"/>
      <c r="CE863" s="147"/>
      <c r="CF863" s="147"/>
      <c r="CG863" s="147"/>
      <c r="CH863" s="147"/>
      <c r="CI863" s="147"/>
      <c r="CJ863" s="147"/>
      <c r="CK863" s="147"/>
    </row>
    <row r="864" spans="1:89">
      <c r="A864" s="147"/>
      <c r="B864" s="147"/>
      <c r="C864" s="147"/>
      <c r="D864" s="147"/>
      <c r="E864" s="147"/>
      <c r="F864" s="147"/>
      <c r="G864" s="147"/>
      <c r="H864" s="147"/>
      <c r="I864" s="147"/>
      <c r="J864" s="147"/>
      <c r="K864" s="147"/>
      <c r="L864" s="147"/>
      <c r="M864" s="147"/>
      <c r="N864" s="147"/>
      <c r="O864" s="158"/>
      <c r="P864" s="147"/>
      <c r="Q864" s="147"/>
      <c r="R864" s="147"/>
      <c r="S864" s="147"/>
      <c r="T864" s="147"/>
      <c r="U864" s="147"/>
      <c r="V864" s="147"/>
      <c r="W864" s="147"/>
      <c r="X864" s="147"/>
      <c r="Y864" s="147"/>
      <c r="Z864" s="147"/>
      <c r="AA864" s="147"/>
      <c r="AB864" s="147"/>
      <c r="AC864" s="147"/>
      <c r="AD864" s="147"/>
      <c r="AE864" s="147"/>
      <c r="AF864" s="147"/>
      <c r="AG864" s="147"/>
      <c r="AH864" s="147"/>
      <c r="AI864" s="147"/>
      <c r="AJ864" s="147"/>
      <c r="AK864" s="147"/>
      <c r="AL864" s="147"/>
      <c r="AM864" s="147"/>
      <c r="AN864" s="147"/>
      <c r="AO864" s="147"/>
      <c r="AP864" s="147"/>
      <c r="AQ864" s="147"/>
      <c r="AR864" s="147"/>
      <c r="AS864" s="147"/>
      <c r="AT864" s="147"/>
      <c r="AU864" s="147"/>
      <c r="AV864" s="147"/>
      <c r="AW864" s="147"/>
      <c r="AX864" s="147"/>
      <c r="AY864" s="147"/>
      <c r="AZ864" s="147"/>
      <c r="BA864" s="147"/>
      <c r="BB864" s="147"/>
      <c r="BC864" s="147"/>
      <c r="BD864" s="147"/>
      <c r="BE864" s="147"/>
      <c r="BF864" s="147"/>
      <c r="BG864" s="147"/>
      <c r="BH864" s="147"/>
      <c r="BI864" s="147"/>
      <c r="BJ864" s="147"/>
      <c r="BK864" s="147"/>
      <c r="BL864" s="147"/>
      <c r="BM864" s="147"/>
      <c r="BN864" s="147"/>
      <c r="BO864" s="147"/>
      <c r="BP864" s="147"/>
      <c r="BQ864" s="147"/>
      <c r="BR864" s="147"/>
      <c r="BS864" s="147"/>
      <c r="BT864" s="147"/>
      <c r="BU864" s="147"/>
      <c r="BV864" s="147"/>
      <c r="BW864" s="147"/>
      <c r="BX864" s="147"/>
      <c r="BY864" s="147"/>
      <c r="BZ864" s="147"/>
      <c r="CA864" s="147"/>
      <c r="CB864" s="147"/>
      <c r="CC864" s="147"/>
      <c r="CD864" s="147"/>
      <c r="CE864" s="147"/>
      <c r="CF864" s="147"/>
      <c r="CG864" s="147"/>
      <c r="CH864" s="147"/>
      <c r="CI864" s="147"/>
      <c r="CJ864" s="147"/>
      <c r="CK864" s="147"/>
    </row>
    <row r="865" spans="1:89">
      <c r="A865" s="147"/>
      <c r="B865" s="147"/>
      <c r="C865" s="147"/>
      <c r="D865" s="147"/>
      <c r="E865" s="147"/>
      <c r="F865" s="147"/>
      <c r="G865" s="147"/>
      <c r="H865" s="147"/>
      <c r="I865" s="147"/>
      <c r="J865" s="147"/>
      <c r="K865" s="147"/>
      <c r="L865" s="147"/>
      <c r="M865" s="147"/>
      <c r="N865" s="147"/>
      <c r="O865" s="158"/>
      <c r="P865" s="147"/>
      <c r="Q865" s="147"/>
      <c r="R865" s="147"/>
      <c r="S865" s="147"/>
      <c r="T865" s="147"/>
      <c r="U865" s="147"/>
      <c r="V865" s="147"/>
      <c r="W865" s="147"/>
      <c r="X865" s="147"/>
      <c r="Y865" s="147"/>
      <c r="Z865" s="147"/>
      <c r="AA865" s="147"/>
      <c r="AB865" s="147"/>
      <c r="AC865" s="147"/>
      <c r="AD865" s="147"/>
      <c r="AE865" s="147"/>
      <c r="AF865" s="147"/>
      <c r="AG865" s="147"/>
      <c r="AH865" s="147"/>
      <c r="AI865" s="147"/>
      <c r="AJ865" s="147"/>
      <c r="AK865" s="147"/>
      <c r="AL865" s="147"/>
      <c r="AM865" s="147"/>
      <c r="AN865" s="147"/>
      <c r="AO865" s="147"/>
      <c r="AP865" s="147"/>
      <c r="AQ865" s="147"/>
      <c r="AR865" s="147"/>
      <c r="AS865" s="147"/>
      <c r="AT865" s="147"/>
      <c r="AU865" s="147"/>
      <c r="AV865" s="147"/>
      <c r="AW865" s="147"/>
      <c r="AX865" s="147"/>
      <c r="AY865" s="147"/>
      <c r="AZ865" s="147"/>
      <c r="BA865" s="147"/>
      <c r="BB865" s="147"/>
      <c r="BC865" s="147"/>
      <c r="BD865" s="147"/>
      <c r="BE865" s="147"/>
      <c r="BF865" s="147"/>
      <c r="BG865" s="147"/>
      <c r="BH865" s="147"/>
      <c r="BI865" s="147"/>
      <c r="BJ865" s="147"/>
      <c r="BK865" s="147"/>
      <c r="BL865" s="147"/>
      <c r="BM865" s="147"/>
      <c r="BN865" s="147"/>
      <c r="BO865" s="147"/>
      <c r="BP865" s="147"/>
      <c r="BQ865" s="147"/>
      <c r="BR865" s="147"/>
      <c r="BS865" s="147"/>
      <c r="BT865" s="147"/>
      <c r="BU865" s="147"/>
      <c r="BV865" s="147"/>
      <c r="BW865" s="147"/>
      <c r="BX865" s="147"/>
      <c r="BY865" s="147"/>
      <c r="BZ865" s="147"/>
      <c r="CA865" s="147"/>
      <c r="CB865" s="147"/>
      <c r="CC865" s="147"/>
      <c r="CD865" s="147"/>
      <c r="CE865" s="147"/>
      <c r="CF865" s="147"/>
      <c r="CG865" s="147"/>
      <c r="CH865" s="147"/>
      <c r="CI865" s="147"/>
      <c r="CJ865" s="147"/>
      <c r="CK865" s="147"/>
    </row>
    <row r="866" spans="1:89">
      <c r="A866" s="147"/>
      <c r="B866" s="147"/>
      <c r="C866" s="147"/>
      <c r="D866" s="147"/>
      <c r="E866" s="147"/>
      <c r="F866" s="147"/>
      <c r="G866" s="147"/>
      <c r="H866" s="147"/>
      <c r="I866" s="147"/>
      <c r="J866" s="147"/>
      <c r="K866" s="147"/>
      <c r="L866" s="147"/>
      <c r="M866" s="147"/>
      <c r="N866" s="147"/>
      <c r="O866" s="158"/>
      <c r="P866" s="147"/>
      <c r="Q866" s="147"/>
      <c r="R866" s="147"/>
      <c r="S866" s="147"/>
      <c r="T866" s="147"/>
      <c r="U866" s="147"/>
      <c r="V866" s="147"/>
      <c r="W866" s="147"/>
      <c r="X866" s="147"/>
      <c r="Y866" s="147"/>
      <c r="Z866" s="147"/>
      <c r="AA866" s="147"/>
      <c r="AB866" s="147"/>
      <c r="AC866" s="147"/>
      <c r="AD866" s="147"/>
      <c r="AE866" s="147"/>
      <c r="AF866" s="147"/>
      <c r="AG866" s="147"/>
      <c r="AH866" s="147"/>
      <c r="AI866" s="147"/>
      <c r="AJ866" s="147"/>
      <c r="AK866" s="147"/>
      <c r="AL866" s="147"/>
      <c r="AM866" s="147"/>
      <c r="AN866" s="147"/>
      <c r="AO866" s="147"/>
      <c r="AP866" s="147"/>
      <c r="AQ866" s="147"/>
      <c r="AR866" s="147"/>
      <c r="AS866" s="147"/>
      <c r="AT866" s="147"/>
      <c r="AU866" s="147"/>
      <c r="AV866" s="147"/>
      <c r="AW866" s="147"/>
      <c r="AX866" s="147"/>
      <c r="AY866" s="147"/>
      <c r="AZ866" s="147"/>
      <c r="BA866" s="147"/>
      <c r="BB866" s="147"/>
      <c r="BC866" s="147"/>
      <c r="BD866" s="147"/>
      <c r="BE866" s="147"/>
      <c r="BF866" s="147"/>
      <c r="BG866" s="147"/>
      <c r="BH866" s="147"/>
      <c r="BI866" s="147"/>
      <c r="BJ866" s="147"/>
      <c r="BK866" s="147"/>
      <c r="BL866" s="147"/>
      <c r="BM866" s="147"/>
      <c r="BN866" s="147"/>
      <c r="BO866" s="147"/>
      <c r="BP866" s="147"/>
      <c r="BQ866" s="147"/>
      <c r="BR866" s="147"/>
      <c r="BS866" s="147"/>
      <c r="BT866" s="147"/>
      <c r="BU866" s="147"/>
      <c r="BV866" s="147"/>
      <c r="BW866" s="147"/>
      <c r="BX866" s="147"/>
      <c r="BY866" s="147"/>
      <c r="BZ866" s="147"/>
      <c r="CA866" s="147"/>
      <c r="CB866" s="147"/>
      <c r="CC866" s="147"/>
      <c r="CD866" s="147"/>
      <c r="CE866" s="147"/>
      <c r="CF866" s="147"/>
      <c r="CG866" s="147"/>
      <c r="CH866" s="147"/>
      <c r="CI866" s="147"/>
      <c r="CJ866" s="147"/>
      <c r="CK866" s="147"/>
    </row>
    <row r="867" spans="1:89">
      <c r="A867" s="147"/>
      <c r="B867" s="147"/>
      <c r="C867" s="147"/>
      <c r="D867" s="147"/>
      <c r="E867" s="147"/>
      <c r="F867" s="147"/>
      <c r="G867" s="147"/>
      <c r="H867" s="147"/>
      <c r="I867" s="147"/>
      <c r="J867" s="147"/>
      <c r="K867" s="147"/>
      <c r="L867" s="147"/>
      <c r="M867" s="147"/>
      <c r="N867" s="147"/>
      <c r="O867" s="158"/>
      <c r="P867" s="147"/>
      <c r="Q867" s="147"/>
      <c r="R867" s="147"/>
      <c r="S867" s="147"/>
      <c r="T867" s="147"/>
      <c r="U867" s="147"/>
      <c r="V867" s="147"/>
      <c r="W867" s="147"/>
      <c r="X867" s="147"/>
      <c r="Y867" s="147"/>
      <c r="Z867" s="147"/>
      <c r="AA867" s="147"/>
      <c r="AB867" s="147"/>
      <c r="AC867" s="147"/>
      <c r="AD867" s="147"/>
      <c r="AE867" s="147"/>
      <c r="AF867" s="147"/>
      <c r="AG867" s="147"/>
      <c r="AH867" s="147"/>
      <c r="AI867" s="147"/>
      <c r="AJ867" s="147"/>
      <c r="AK867" s="147"/>
      <c r="AL867" s="147"/>
      <c r="AM867" s="147"/>
      <c r="AN867" s="147"/>
      <c r="AO867" s="147"/>
      <c r="AP867" s="147"/>
      <c r="AQ867" s="147"/>
      <c r="AR867" s="147"/>
      <c r="AS867" s="147"/>
      <c r="AT867" s="147"/>
      <c r="AU867" s="147"/>
      <c r="AV867" s="147"/>
      <c r="AW867" s="147"/>
      <c r="AX867" s="147"/>
      <c r="AY867" s="147"/>
      <c r="AZ867" s="147"/>
      <c r="BA867" s="147"/>
      <c r="BB867" s="147"/>
      <c r="BC867" s="147"/>
      <c r="BD867" s="147"/>
      <c r="BE867" s="147"/>
      <c r="BF867" s="147"/>
      <c r="BG867" s="147"/>
      <c r="BH867" s="147"/>
      <c r="BI867" s="147"/>
      <c r="BJ867" s="147"/>
      <c r="BK867" s="147"/>
      <c r="BL867" s="147"/>
      <c r="BM867" s="147"/>
      <c r="BN867" s="147"/>
      <c r="BO867" s="147"/>
      <c r="BP867" s="147"/>
      <c r="BQ867" s="147"/>
      <c r="BR867" s="147"/>
      <c r="BS867" s="147"/>
      <c r="BT867" s="147"/>
      <c r="BU867" s="147"/>
      <c r="BV867" s="147"/>
      <c r="BW867" s="147"/>
      <c r="BX867" s="147"/>
      <c r="BY867" s="147"/>
      <c r="BZ867" s="147"/>
      <c r="CA867" s="147"/>
      <c r="CB867" s="147"/>
      <c r="CC867" s="147"/>
      <c r="CD867" s="147"/>
      <c r="CE867" s="147"/>
      <c r="CF867" s="147"/>
      <c r="CG867" s="147"/>
      <c r="CH867" s="147"/>
      <c r="CI867" s="147"/>
      <c r="CJ867" s="147"/>
      <c r="CK867" s="147"/>
    </row>
    <row r="868" spans="1:89">
      <c r="A868" s="147"/>
      <c r="B868" s="147"/>
      <c r="C868" s="147"/>
      <c r="D868" s="147"/>
      <c r="E868" s="147"/>
      <c r="F868" s="147"/>
      <c r="G868" s="147"/>
      <c r="H868" s="147"/>
      <c r="I868" s="147"/>
      <c r="J868" s="147"/>
      <c r="K868" s="147"/>
      <c r="L868" s="147"/>
      <c r="M868" s="147"/>
      <c r="N868" s="147"/>
      <c r="O868" s="158"/>
      <c r="P868" s="147"/>
      <c r="Q868" s="147"/>
      <c r="R868" s="147"/>
      <c r="S868" s="147"/>
      <c r="T868" s="147"/>
      <c r="U868" s="147"/>
      <c r="V868" s="147"/>
      <c r="W868" s="147"/>
      <c r="X868" s="147"/>
      <c r="Y868" s="147"/>
      <c r="Z868" s="147"/>
      <c r="AA868" s="147"/>
      <c r="AB868" s="147"/>
      <c r="AC868" s="147"/>
      <c r="AD868" s="147"/>
      <c r="AE868" s="147"/>
      <c r="AF868" s="147"/>
      <c r="AG868" s="147"/>
      <c r="AH868" s="147"/>
      <c r="AI868" s="147"/>
      <c r="AJ868" s="147"/>
      <c r="AK868" s="147"/>
      <c r="AL868" s="147"/>
      <c r="AM868" s="147"/>
      <c r="AN868" s="147"/>
      <c r="AO868" s="147"/>
      <c r="AP868" s="147"/>
      <c r="AQ868" s="147"/>
      <c r="AR868" s="147"/>
      <c r="AS868" s="147"/>
      <c r="AT868" s="147"/>
      <c r="AU868" s="147"/>
      <c r="AV868" s="147"/>
      <c r="AW868" s="147"/>
      <c r="AX868" s="147"/>
      <c r="AY868" s="147"/>
      <c r="AZ868" s="147"/>
      <c r="BA868" s="147"/>
      <c r="BB868" s="147"/>
      <c r="BC868" s="147"/>
      <c r="BD868" s="147"/>
      <c r="BE868" s="147"/>
      <c r="BF868" s="147"/>
      <c r="BG868" s="147"/>
      <c r="BH868" s="147"/>
      <c r="BI868" s="147"/>
      <c r="BJ868" s="147"/>
      <c r="BK868" s="147"/>
      <c r="BL868" s="147"/>
      <c r="BM868" s="147"/>
      <c r="BN868" s="147"/>
      <c r="BO868" s="147"/>
      <c r="BP868" s="147"/>
      <c r="BQ868" s="147"/>
      <c r="BR868" s="147"/>
      <c r="BS868" s="147"/>
      <c r="BT868" s="147"/>
      <c r="BU868" s="147"/>
      <c r="BV868" s="147"/>
      <c r="BW868" s="147"/>
      <c r="BX868" s="147"/>
      <c r="BY868" s="147"/>
      <c r="BZ868" s="147"/>
      <c r="CA868" s="147"/>
      <c r="CB868" s="147"/>
      <c r="CC868" s="147"/>
      <c r="CD868" s="147"/>
      <c r="CE868" s="147"/>
      <c r="CF868" s="147"/>
      <c r="CG868" s="147"/>
      <c r="CH868" s="147"/>
      <c r="CI868" s="147"/>
      <c r="CJ868" s="147"/>
      <c r="CK868" s="147"/>
    </row>
    <row r="869" spans="1:89">
      <c r="A869" s="147"/>
      <c r="B869" s="147"/>
      <c r="C869" s="147"/>
      <c r="D869" s="147"/>
      <c r="E869" s="147"/>
      <c r="F869" s="147"/>
      <c r="G869" s="147"/>
      <c r="H869" s="147"/>
      <c r="I869" s="147"/>
      <c r="J869" s="147"/>
      <c r="K869" s="147"/>
      <c r="L869" s="147"/>
      <c r="M869" s="147"/>
      <c r="N869" s="147"/>
      <c r="O869" s="158"/>
      <c r="P869" s="147"/>
      <c r="Q869" s="147"/>
      <c r="R869" s="147"/>
      <c r="S869" s="147"/>
      <c r="T869" s="147"/>
      <c r="U869" s="147"/>
      <c r="V869" s="147"/>
      <c r="W869" s="147"/>
      <c r="X869" s="147"/>
      <c r="Y869" s="147"/>
      <c r="Z869" s="147"/>
      <c r="AA869" s="147"/>
      <c r="AB869" s="147"/>
      <c r="AC869" s="147"/>
      <c r="AD869" s="147"/>
      <c r="AE869" s="147"/>
      <c r="AF869" s="147"/>
      <c r="AG869" s="147"/>
      <c r="AH869" s="147"/>
      <c r="AI869" s="147"/>
      <c r="AJ869" s="147"/>
      <c r="AK869" s="147"/>
      <c r="AL869" s="147"/>
      <c r="AM869" s="147"/>
      <c r="AN869" s="147"/>
      <c r="AO869" s="147"/>
      <c r="AP869" s="147"/>
      <c r="AQ869" s="147"/>
      <c r="AR869" s="147"/>
      <c r="AS869" s="147"/>
      <c r="AT869" s="147"/>
      <c r="AU869" s="147"/>
      <c r="AV869" s="147"/>
      <c r="AW869" s="147"/>
      <c r="AX869" s="147"/>
      <c r="AY869" s="147"/>
      <c r="AZ869" s="147"/>
      <c r="BA869" s="147"/>
      <c r="BB869" s="147"/>
      <c r="BC869" s="147"/>
      <c r="BD869" s="147"/>
      <c r="BE869" s="147"/>
      <c r="BF869" s="147"/>
      <c r="BG869" s="147"/>
      <c r="BH869" s="147"/>
      <c r="BI869" s="147"/>
      <c r="BJ869" s="147"/>
      <c r="BK869" s="147"/>
      <c r="BL869" s="147"/>
      <c r="BM869" s="147"/>
      <c r="BN869" s="147"/>
      <c r="BO869" s="147"/>
      <c r="BP869" s="147"/>
      <c r="BQ869" s="147"/>
      <c r="BR869" s="147"/>
      <c r="BS869" s="147"/>
      <c r="BT869" s="147"/>
      <c r="BU869" s="147"/>
      <c r="BV869" s="147"/>
      <c r="BW869" s="147"/>
      <c r="BX869" s="147"/>
      <c r="BY869" s="147"/>
      <c r="BZ869" s="147"/>
      <c r="CA869" s="147"/>
      <c r="CB869" s="147"/>
      <c r="CC869" s="147"/>
      <c r="CD869" s="147"/>
      <c r="CE869" s="147"/>
      <c r="CF869" s="147"/>
      <c r="CG869" s="147"/>
      <c r="CH869" s="147"/>
      <c r="CI869" s="147"/>
      <c r="CJ869" s="147"/>
      <c r="CK869" s="147"/>
    </row>
    <row r="870" spans="1:89">
      <c r="A870" s="147"/>
      <c r="B870" s="147"/>
      <c r="C870" s="147"/>
      <c r="D870" s="147"/>
      <c r="E870" s="147"/>
      <c r="F870" s="147"/>
      <c r="G870" s="147"/>
      <c r="H870" s="147"/>
      <c r="I870" s="147"/>
      <c r="J870" s="147"/>
      <c r="K870" s="147"/>
      <c r="L870" s="147"/>
      <c r="M870" s="147"/>
      <c r="N870" s="147"/>
      <c r="O870" s="158"/>
      <c r="P870" s="147"/>
      <c r="Q870" s="147"/>
      <c r="R870" s="147"/>
      <c r="S870" s="147"/>
      <c r="T870" s="147"/>
      <c r="U870" s="147"/>
      <c r="V870" s="147"/>
      <c r="W870" s="147"/>
      <c r="X870" s="147"/>
      <c r="Y870" s="147"/>
      <c r="Z870" s="147"/>
      <c r="AA870" s="147"/>
      <c r="AB870" s="147"/>
      <c r="AC870" s="147"/>
      <c r="AD870" s="147"/>
      <c r="AE870" s="147"/>
      <c r="AF870" s="147"/>
      <c r="AG870" s="147"/>
      <c r="AH870" s="147"/>
      <c r="AI870" s="147"/>
      <c r="AJ870" s="147"/>
      <c r="AK870" s="147"/>
      <c r="AL870" s="147"/>
      <c r="AM870" s="147"/>
      <c r="AN870" s="147"/>
      <c r="AO870" s="147"/>
      <c r="AP870" s="147"/>
      <c r="AQ870" s="147"/>
      <c r="AR870" s="147"/>
      <c r="AS870" s="147"/>
      <c r="AT870" s="147"/>
      <c r="AU870" s="147"/>
      <c r="AV870" s="147"/>
      <c r="AW870" s="147"/>
      <c r="AX870" s="147"/>
      <c r="AY870" s="147"/>
      <c r="AZ870" s="147"/>
      <c r="BA870" s="147"/>
      <c r="BB870" s="147"/>
      <c r="BC870" s="147"/>
      <c r="BD870" s="147"/>
      <c r="BE870" s="147"/>
      <c r="BF870" s="147"/>
      <c r="BG870" s="147"/>
      <c r="BH870" s="147"/>
      <c r="BI870" s="147"/>
      <c r="BJ870" s="147"/>
      <c r="BK870" s="147"/>
      <c r="BL870" s="147"/>
      <c r="BM870" s="147"/>
      <c r="BN870" s="147"/>
      <c r="BO870" s="147"/>
      <c r="BP870" s="147"/>
      <c r="BQ870" s="147"/>
      <c r="BR870" s="147"/>
      <c r="BS870" s="147"/>
      <c r="BT870" s="147"/>
      <c r="BU870" s="147"/>
      <c r="BV870" s="147"/>
      <c r="BW870" s="147"/>
      <c r="BX870" s="147"/>
      <c r="BY870" s="147"/>
      <c r="BZ870" s="147"/>
      <c r="CA870" s="147"/>
      <c r="CB870" s="147"/>
      <c r="CC870" s="147"/>
      <c r="CD870" s="147"/>
      <c r="CE870" s="147"/>
      <c r="CF870" s="147"/>
      <c r="CG870" s="147"/>
      <c r="CH870" s="147"/>
      <c r="CI870" s="147"/>
      <c r="CJ870" s="147"/>
      <c r="CK870" s="147"/>
    </row>
    <row r="871" spans="1:89">
      <c r="A871" s="147"/>
      <c r="B871" s="147"/>
      <c r="C871" s="147"/>
      <c r="D871" s="147"/>
      <c r="E871" s="147"/>
      <c r="F871" s="147"/>
      <c r="G871" s="147"/>
      <c r="H871" s="147"/>
      <c r="I871" s="147"/>
      <c r="J871" s="147"/>
      <c r="K871" s="147"/>
      <c r="L871" s="147"/>
      <c r="M871" s="147"/>
      <c r="N871" s="147"/>
      <c r="O871" s="158"/>
      <c r="P871" s="147"/>
      <c r="Q871" s="147"/>
      <c r="R871" s="147"/>
      <c r="S871" s="147"/>
      <c r="T871" s="147"/>
      <c r="U871" s="147"/>
      <c r="V871" s="147"/>
      <c r="W871" s="147"/>
      <c r="X871" s="147"/>
      <c r="Y871" s="147"/>
      <c r="Z871" s="147"/>
      <c r="AA871" s="147"/>
      <c r="AB871" s="147"/>
      <c r="AC871" s="147"/>
      <c r="AD871" s="147"/>
      <c r="AE871" s="147"/>
      <c r="AF871" s="147"/>
      <c r="AG871" s="147"/>
      <c r="AH871" s="147"/>
      <c r="AI871" s="147"/>
      <c r="AJ871" s="147"/>
      <c r="AK871" s="147"/>
      <c r="AL871" s="147"/>
      <c r="AM871" s="147"/>
      <c r="AN871" s="147"/>
      <c r="AO871" s="147"/>
      <c r="AP871" s="147"/>
      <c r="AQ871" s="147"/>
      <c r="AR871" s="147"/>
      <c r="AS871" s="147"/>
      <c r="AT871" s="147"/>
      <c r="AU871" s="147"/>
      <c r="AV871" s="147"/>
      <c r="AW871" s="147"/>
      <c r="AX871" s="147"/>
      <c r="AY871" s="147"/>
      <c r="AZ871" s="147"/>
      <c r="BA871" s="147"/>
      <c r="BB871" s="147"/>
      <c r="BC871" s="147"/>
      <c r="BD871" s="147"/>
      <c r="BE871" s="147"/>
      <c r="BF871" s="147"/>
      <c r="BG871" s="147"/>
      <c r="BH871" s="147"/>
      <c r="BI871" s="147"/>
      <c r="BJ871" s="147"/>
      <c r="BK871" s="147"/>
      <c r="BL871" s="147"/>
      <c r="BM871" s="147"/>
      <c r="BN871" s="147"/>
      <c r="BO871" s="147"/>
      <c r="BP871" s="147"/>
      <c r="BQ871" s="147"/>
      <c r="BR871" s="147"/>
      <c r="BS871" s="147"/>
      <c r="BT871" s="147"/>
      <c r="BU871" s="147"/>
      <c r="BV871" s="147"/>
      <c r="BW871" s="147"/>
      <c r="BX871" s="147"/>
      <c r="BY871" s="147"/>
      <c r="BZ871" s="147"/>
      <c r="CA871" s="147"/>
      <c r="CB871" s="147"/>
      <c r="CC871" s="147"/>
      <c r="CD871" s="147"/>
      <c r="CE871" s="147"/>
      <c r="CF871" s="147"/>
      <c r="CG871" s="147"/>
      <c r="CH871" s="147"/>
      <c r="CI871" s="147"/>
      <c r="CJ871" s="147"/>
      <c r="CK871" s="147"/>
    </row>
    <row r="872" spans="1:89">
      <c r="A872" s="147"/>
      <c r="B872" s="147"/>
      <c r="C872" s="147"/>
      <c r="D872" s="147"/>
      <c r="E872" s="147"/>
      <c r="F872" s="147"/>
      <c r="G872" s="147"/>
      <c r="H872" s="147"/>
      <c r="I872" s="147"/>
      <c r="J872" s="147"/>
      <c r="K872" s="147"/>
      <c r="L872" s="147"/>
      <c r="M872" s="147"/>
      <c r="N872" s="147"/>
      <c r="O872" s="158"/>
      <c r="P872" s="147"/>
      <c r="Q872" s="147"/>
      <c r="R872" s="147"/>
      <c r="S872" s="147"/>
      <c r="T872" s="147"/>
      <c r="U872" s="147"/>
      <c r="V872" s="147"/>
      <c r="W872" s="147"/>
      <c r="X872" s="147"/>
      <c r="Y872" s="147"/>
      <c r="Z872" s="147"/>
      <c r="AA872" s="147"/>
      <c r="AB872" s="147"/>
      <c r="AC872" s="147"/>
      <c r="AD872" s="147"/>
      <c r="AE872" s="147"/>
      <c r="AF872" s="147"/>
      <c r="AG872" s="147"/>
      <c r="AH872" s="147"/>
      <c r="AI872" s="147"/>
      <c r="AJ872" s="147"/>
      <c r="AK872" s="147"/>
      <c r="AL872" s="147"/>
      <c r="AM872" s="147"/>
      <c r="AN872" s="147"/>
      <c r="AO872" s="147"/>
      <c r="AP872" s="147"/>
      <c r="AQ872" s="147"/>
      <c r="AR872" s="147"/>
      <c r="AS872" s="147"/>
      <c r="AT872" s="147"/>
      <c r="AU872" s="147"/>
      <c r="AV872" s="147"/>
      <c r="AW872" s="147"/>
      <c r="AX872" s="147"/>
      <c r="AY872" s="147"/>
      <c r="AZ872" s="147"/>
      <c r="BA872" s="147"/>
      <c r="BB872" s="147"/>
      <c r="BC872" s="147"/>
      <c r="BD872" s="147"/>
      <c r="BE872" s="147"/>
      <c r="BF872" s="147"/>
      <c r="BG872" s="147"/>
      <c r="BH872" s="147"/>
      <c r="BI872" s="147"/>
      <c r="BJ872" s="147"/>
      <c r="BK872" s="147"/>
      <c r="BL872" s="147"/>
      <c r="BM872" s="147"/>
      <c r="BN872" s="147"/>
      <c r="BO872" s="147"/>
      <c r="BP872" s="147"/>
      <c r="BQ872" s="147"/>
      <c r="BR872" s="147"/>
      <c r="BS872" s="147"/>
      <c r="BT872" s="147"/>
      <c r="BU872" s="147"/>
      <c r="BV872" s="147"/>
      <c r="BW872" s="147"/>
      <c r="BX872" s="147"/>
      <c r="BY872" s="147"/>
      <c r="BZ872" s="147"/>
      <c r="CA872" s="147"/>
      <c r="CB872" s="147"/>
      <c r="CC872" s="147"/>
      <c r="CD872" s="147"/>
      <c r="CE872" s="147"/>
      <c r="CF872" s="147"/>
      <c r="CG872" s="147"/>
      <c r="CH872" s="147"/>
      <c r="CI872" s="147"/>
      <c r="CJ872" s="147"/>
      <c r="CK872" s="147"/>
    </row>
    <row r="873" spans="1:89">
      <c r="A873" s="147"/>
      <c r="B873" s="147"/>
      <c r="C873" s="147"/>
      <c r="D873" s="147"/>
      <c r="E873" s="147"/>
      <c r="F873" s="147"/>
      <c r="G873" s="147"/>
      <c r="H873" s="147"/>
      <c r="I873" s="147"/>
      <c r="J873" s="147"/>
      <c r="K873" s="147"/>
      <c r="L873" s="147"/>
      <c r="M873" s="147"/>
      <c r="N873" s="147"/>
      <c r="O873" s="158"/>
      <c r="P873" s="147"/>
      <c r="Q873" s="147"/>
      <c r="R873" s="147"/>
      <c r="S873" s="147"/>
      <c r="T873" s="147"/>
      <c r="U873" s="147"/>
      <c r="V873" s="147"/>
      <c r="W873" s="147"/>
      <c r="X873" s="147"/>
      <c r="Y873" s="147"/>
      <c r="Z873" s="147"/>
      <c r="AA873" s="147"/>
      <c r="AB873" s="147"/>
      <c r="AC873" s="147"/>
      <c r="AD873" s="147"/>
      <c r="AE873" s="147"/>
      <c r="AF873" s="147"/>
      <c r="AG873" s="147"/>
      <c r="AH873" s="147"/>
      <c r="AI873" s="147"/>
      <c r="AJ873" s="147"/>
      <c r="AK873" s="147"/>
      <c r="AL873" s="147"/>
      <c r="AM873" s="147"/>
      <c r="AN873" s="147"/>
      <c r="AO873" s="147"/>
      <c r="AP873" s="147"/>
      <c r="AQ873" s="147"/>
      <c r="AR873" s="147"/>
      <c r="AS873" s="147"/>
      <c r="AT873" s="147"/>
      <c r="AU873" s="147"/>
      <c r="AV873" s="147"/>
      <c r="AW873" s="147"/>
      <c r="AX873" s="147"/>
      <c r="AY873" s="147"/>
      <c r="AZ873" s="147"/>
      <c r="BA873" s="147"/>
      <c r="BB873" s="147"/>
      <c r="BC873" s="147"/>
      <c r="BD873" s="147"/>
      <c r="BE873" s="147"/>
      <c r="BF873" s="147"/>
      <c r="BG873" s="147"/>
      <c r="BH873" s="147"/>
      <c r="BI873" s="147"/>
      <c r="BJ873" s="147"/>
      <c r="BK873" s="147"/>
      <c r="BL873" s="147"/>
      <c r="BM873" s="147"/>
      <c r="BN873" s="147"/>
      <c r="BO873" s="147"/>
      <c r="BP873" s="147"/>
      <c r="BQ873" s="147"/>
      <c r="BR873" s="147"/>
      <c r="BS873" s="147"/>
      <c r="BT873" s="147"/>
      <c r="BU873" s="147"/>
      <c r="BV873" s="147"/>
      <c r="BW873" s="147"/>
      <c r="BX873" s="147"/>
      <c r="BY873" s="147"/>
      <c r="BZ873" s="147"/>
      <c r="CA873" s="147"/>
      <c r="CB873" s="147"/>
      <c r="CC873" s="147"/>
      <c r="CD873" s="147"/>
      <c r="CE873" s="147"/>
      <c r="CF873" s="147"/>
      <c r="CG873" s="147"/>
      <c r="CH873" s="147"/>
      <c r="CI873" s="147"/>
      <c r="CJ873" s="147"/>
      <c r="CK873" s="147"/>
    </row>
    <row r="874" spans="1:89">
      <c r="A874" s="147"/>
      <c r="B874" s="147"/>
      <c r="C874" s="147"/>
      <c r="D874" s="147"/>
      <c r="E874" s="147"/>
      <c r="F874" s="147"/>
      <c r="G874" s="147"/>
      <c r="H874" s="147"/>
      <c r="I874" s="147"/>
      <c r="J874" s="147"/>
      <c r="K874" s="147"/>
      <c r="L874" s="147"/>
      <c r="M874" s="147"/>
      <c r="N874" s="147"/>
      <c r="O874" s="158"/>
      <c r="P874" s="147"/>
      <c r="Q874" s="147"/>
      <c r="R874" s="147"/>
      <c r="S874" s="147"/>
      <c r="T874" s="147"/>
      <c r="U874" s="147"/>
      <c r="V874" s="147"/>
      <c r="W874" s="147"/>
      <c r="X874" s="147"/>
      <c r="Y874" s="147"/>
      <c r="Z874" s="147"/>
      <c r="AA874" s="147"/>
      <c r="AB874" s="147"/>
      <c r="AC874" s="147"/>
      <c r="AD874" s="147"/>
      <c r="AE874" s="147"/>
      <c r="AF874" s="147"/>
      <c r="AG874" s="147"/>
      <c r="AH874" s="147"/>
      <c r="AI874" s="147"/>
      <c r="AJ874" s="147"/>
      <c r="AK874" s="147"/>
      <c r="AL874" s="147"/>
      <c r="AM874" s="147"/>
      <c r="AN874" s="147"/>
      <c r="AO874" s="147"/>
      <c r="AP874" s="147"/>
      <c r="AQ874" s="147"/>
      <c r="AR874" s="147"/>
      <c r="AS874" s="147"/>
      <c r="AT874" s="147"/>
      <c r="AU874" s="147"/>
      <c r="AV874" s="147"/>
      <c r="AW874" s="147"/>
      <c r="AX874" s="147"/>
      <c r="AY874" s="147"/>
      <c r="AZ874" s="147"/>
      <c r="BA874" s="147"/>
      <c r="BB874" s="147"/>
      <c r="BC874" s="147"/>
      <c r="BD874" s="147"/>
      <c r="BE874" s="147"/>
      <c r="BF874" s="147"/>
      <c r="BG874" s="147"/>
      <c r="BH874" s="147"/>
      <c r="BI874" s="147"/>
      <c r="BJ874" s="147"/>
      <c r="BK874" s="147"/>
      <c r="BL874" s="147"/>
      <c r="BM874" s="147"/>
      <c r="BN874" s="147"/>
      <c r="BO874" s="147"/>
      <c r="BP874" s="147"/>
      <c r="BQ874" s="147"/>
      <c r="BR874" s="147"/>
      <c r="BS874" s="147"/>
      <c r="BT874" s="147"/>
      <c r="BU874" s="147"/>
      <c r="BV874" s="147"/>
      <c r="BW874" s="147"/>
      <c r="BX874" s="147"/>
      <c r="BY874" s="147"/>
      <c r="BZ874" s="147"/>
      <c r="CA874" s="147"/>
      <c r="CB874" s="147"/>
      <c r="CC874" s="147"/>
      <c r="CD874" s="147"/>
      <c r="CE874" s="147"/>
      <c r="CF874" s="147"/>
      <c r="CG874" s="147"/>
      <c r="CH874" s="147"/>
      <c r="CI874" s="147"/>
      <c r="CJ874" s="147"/>
      <c r="CK874" s="147"/>
    </row>
    <row r="875" spans="1:89">
      <c r="A875" s="147"/>
      <c r="B875" s="147"/>
      <c r="C875" s="147"/>
      <c r="D875" s="147"/>
      <c r="E875" s="147"/>
      <c r="F875" s="147"/>
      <c r="G875" s="147"/>
      <c r="H875" s="147"/>
      <c r="I875" s="147"/>
      <c r="J875" s="147"/>
      <c r="K875" s="147"/>
      <c r="L875" s="147"/>
      <c r="M875" s="147"/>
      <c r="N875" s="147"/>
      <c r="O875" s="158"/>
      <c r="P875" s="147"/>
      <c r="Q875" s="147"/>
      <c r="R875" s="147"/>
      <c r="S875" s="147"/>
      <c r="T875" s="147"/>
      <c r="U875" s="147"/>
      <c r="V875" s="147"/>
      <c r="W875" s="147"/>
      <c r="X875" s="147"/>
      <c r="Y875" s="147"/>
      <c r="Z875" s="147"/>
      <c r="AA875" s="147"/>
      <c r="AB875" s="147"/>
      <c r="AC875" s="147"/>
      <c r="AD875" s="147"/>
      <c r="AE875" s="147"/>
      <c r="AF875" s="147"/>
      <c r="AG875" s="147"/>
      <c r="AH875" s="147"/>
      <c r="AI875" s="147"/>
      <c r="AJ875" s="147"/>
      <c r="AK875" s="147"/>
      <c r="AL875" s="147"/>
      <c r="AM875" s="147"/>
      <c r="AN875" s="147"/>
      <c r="AO875" s="147"/>
      <c r="AP875" s="147"/>
      <c r="AQ875" s="147"/>
      <c r="AR875" s="147"/>
      <c r="AS875" s="147"/>
      <c r="AT875" s="147"/>
      <c r="AU875" s="147"/>
      <c r="AV875" s="147"/>
      <c r="AW875" s="147"/>
      <c r="AX875" s="147"/>
      <c r="AY875" s="147"/>
      <c r="AZ875" s="147"/>
      <c r="BA875" s="147"/>
      <c r="BB875" s="147"/>
      <c r="BC875" s="147"/>
      <c r="BD875" s="147"/>
      <c r="BE875" s="147"/>
      <c r="BF875" s="147"/>
      <c r="BG875" s="147"/>
      <c r="BH875" s="147"/>
      <c r="BI875" s="147"/>
      <c r="BJ875" s="147"/>
      <c r="BK875" s="147"/>
      <c r="BL875" s="147"/>
      <c r="BM875" s="147"/>
      <c r="BN875" s="147"/>
      <c r="BO875" s="147"/>
      <c r="BP875" s="147"/>
      <c r="BQ875" s="147"/>
      <c r="BR875" s="147"/>
      <c r="BS875" s="147"/>
      <c r="BT875" s="147"/>
      <c r="BU875" s="147"/>
      <c r="BV875" s="147"/>
      <c r="BW875" s="147"/>
      <c r="BX875" s="147"/>
      <c r="BY875" s="147"/>
      <c r="BZ875" s="147"/>
      <c r="CA875" s="147"/>
      <c r="CB875" s="147"/>
      <c r="CC875" s="147"/>
      <c r="CD875" s="147"/>
      <c r="CE875" s="147"/>
      <c r="CF875" s="147"/>
      <c r="CG875" s="147"/>
      <c r="CH875" s="147"/>
      <c r="CI875" s="147"/>
      <c r="CJ875" s="147"/>
      <c r="CK875" s="147"/>
    </row>
    <row r="876" spans="1:89">
      <c r="A876" s="147"/>
      <c r="B876" s="147"/>
      <c r="C876" s="147"/>
      <c r="D876" s="147"/>
      <c r="E876" s="147"/>
      <c r="F876" s="147"/>
      <c r="G876" s="147"/>
      <c r="H876" s="147"/>
      <c r="I876" s="147"/>
      <c r="J876" s="147"/>
      <c r="K876" s="147"/>
      <c r="L876" s="147"/>
      <c r="M876" s="147"/>
      <c r="N876" s="147"/>
      <c r="O876" s="158"/>
      <c r="P876" s="147"/>
      <c r="Q876" s="147"/>
      <c r="R876" s="147"/>
      <c r="S876" s="147"/>
      <c r="T876" s="147"/>
      <c r="U876" s="147"/>
      <c r="V876" s="147"/>
      <c r="W876" s="147"/>
      <c r="X876" s="147"/>
      <c r="Y876" s="147"/>
      <c r="Z876" s="147"/>
      <c r="AA876" s="147"/>
      <c r="AB876" s="147"/>
      <c r="AC876" s="147"/>
      <c r="AD876" s="147"/>
      <c r="AE876" s="147"/>
      <c r="AF876" s="147"/>
      <c r="AG876" s="147"/>
      <c r="AH876" s="147"/>
      <c r="AI876" s="147"/>
      <c r="AJ876" s="147"/>
      <c r="AK876" s="147"/>
      <c r="AL876" s="147"/>
      <c r="AM876" s="147"/>
      <c r="AN876" s="147"/>
      <c r="AO876" s="147"/>
      <c r="AP876" s="147"/>
      <c r="AQ876" s="147"/>
      <c r="AR876" s="147"/>
      <c r="AS876" s="147"/>
      <c r="AT876" s="147"/>
      <c r="AU876" s="147"/>
      <c r="AV876" s="147"/>
      <c r="AW876" s="147"/>
      <c r="AX876" s="147"/>
      <c r="AY876" s="147"/>
      <c r="AZ876" s="147"/>
      <c r="BA876" s="147"/>
      <c r="BB876" s="147"/>
      <c r="BC876" s="147"/>
      <c r="BD876" s="147"/>
      <c r="BE876" s="147"/>
      <c r="BF876" s="147"/>
      <c r="BG876" s="147"/>
      <c r="BH876" s="147"/>
      <c r="BI876" s="147"/>
      <c r="BJ876" s="147"/>
      <c r="BK876" s="147"/>
      <c r="BL876" s="147"/>
      <c r="BM876" s="147"/>
      <c r="BN876" s="147"/>
      <c r="BO876" s="147"/>
      <c r="BP876" s="147"/>
      <c r="BQ876" s="147"/>
      <c r="BR876" s="147"/>
      <c r="BS876" s="147"/>
      <c r="BT876" s="147"/>
      <c r="BU876" s="147"/>
      <c r="BV876" s="147"/>
      <c r="BW876" s="147"/>
      <c r="BX876" s="147"/>
      <c r="BY876" s="147"/>
      <c r="BZ876" s="147"/>
      <c r="CA876" s="147"/>
      <c r="CB876" s="147"/>
      <c r="CC876" s="147"/>
      <c r="CD876" s="147"/>
      <c r="CE876" s="147"/>
      <c r="CF876" s="147"/>
      <c r="CG876" s="147"/>
      <c r="CH876" s="147"/>
      <c r="CI876" s="147"/>
      <c r="CJ876" s="147"/>
      <c r="CK876" s="147"/>
    </row>
    <row r="877" spans="1:89">
      <c r="A877" s="147"/>
      <c r="B877" s="147"/>
      <c r="C877" s="147"/>
      <c r="D877" s="147"/>
      <c r="E877" s="147"/>
      <c r="F877" s="147"/>
      <c r="G877" s="147"/>
      <c r="H877" s="147"/>
      <c r="I877" s="147"/>
      <c r="J877" s="147"/>
      <c r="K877" s="147"/>
      <c r="L877" s="147"/>
      <c r="M877" s="147"/>
      <c r="N877" s="147"/>
      <c r="O877" s="158"/>
      <c r="P877" s="147"/>
      <c r="Q877" s="147"/>
      <c r="R877" s="147"/>
      <c r="S877" s="147"/>
      <c r="T877" s="147"/>
      <c r="U877" s="147"/>
      <c r="V877" s="147"/>
      <c r="W877" s="147"/>
      <c r="X877" s="147"/>
      <c r="Y877" s="147"/>
      <c r="Z877" s="147"/>
      <c r="AA877" s="147"/>
      <c r="AB877" s="147"/>
      <c r="AC877" s="147"/>
      <c r="AD877" s="147"/>
      <c r="AE877" s="147"/>
      <c r="AF877" s="147"/>
      <c r="AG877" s="147"/>
      <c r="AH877" s="147"/>
      <c r="AI877" s="147"/>
      <c r="AJ877" s="147"/>
      <c r="AK877" s="147"/>
      <c r="AL877" s="147"/>
      <c r="AM877" s="147"/>
      <c r="AN877" s="147"/>
      <c r="AO877" s="147"/>
      <c r="AP877" s="147"/>
      <c r="AQ877" s="147"/>
      <c r="AR877" s="147"/>
      <c r="AS877" s="147"/>
      <c r="AT877" s="147"/>
      <c r="AU877" s="147"/>
      <c r="AV877" s="147"/>
      <c r="AW877" s="147"/>
      <c r="AX877" s="147"/>
      <c r="AY877" s="147"/>
      <c r="AZ877" s="147"/>
      <c r="BA877" s="147"/>
      <c r="BB877" s="147"/>
      <c r="BC877" s="147"/>
      <c r="BD877" s="147"/>
      <c r="BE877" s="147"/>
      <c r="BF877" s="147"/>
      <c r="BG877" s="147"/>
      <c r="BH877" s="147"/>
      <c r="BI877" s="147"/>
      <c r="BJ877" s="147"/>
      <c r="BK877" s="147"/>
      <c r="BL877" s="147"/>
      <c r="BM877" s="147"/>
      <c r="BN877" s="147"/>
      <c r="BO877" s="147"/>
      <c r="BP877" s="147"/>
      <c r="BQ877" s="147"/>
      <c r="BR877" s="147"/>
      <c r="BS877" s="147"/>
      <c r="BT877" s="147"/>
      <c r="BU877" s="147"/>
      <c r="BV877" s="147"/>
      <c r="BW877" s="147"/>
      <c r="BX877" s="147"/>
      <c r="BY877" s="147"/>
      <c r="BZ877" s="147"/>
      <c r="CA877" s="147"/>
      <c r="CB877" s="147"/>
      <c r="CC877" s="147"/>
      <c r="CD877" s="147"/>
      <c r="CE877" s="147"/>
      <c r="CF877" s="147"/>
      <c r="CG877" s="147"/>
      <c r="CH877" s="147"/>
      <c r="CI877" s="147"/>
      <c r="CJ877" s="147"/>
      <c r="CK877" s="147"/>
    </row>
    <row r="878" spans="1:89">
      <c r="A878" s="147"/>
      <c r="B878" s="147"/>
      <c r="C878" s="147"/>
      <c r="D878" s="147"/>
      <c r="E878" s="147"/>
      <c r="F878" s="147"/>
      <c r="G878" s="147"/>
      <c r="H878" s="147"/>
      <c r="I878" s="147"/>
      <c r="J878" s="147"/>
      <c r="K878" s="147"/>
      <c r="L878" s="147"/>
      <c r="M878" s="147"/>
      <c r="N878" s="147"/>
      <c r="O878" s="158"/>
      <c r="P878" s="147"/>
      <c r="Q878" s="147"/>
      <c r="R878" s="147"/>
      <c r="S878" s="147"/>
      <c r="T878" s="147"/>
      <c r="U878" s="147"/>
      <c r="V878" s="147"/>
      <c r="W878" s="147"/>
      <c r="X878" s="147"/>
      <c r="Y878" s="147"/>
      <c r="Z878" s="147"/>
      <c r="AA878" s="147"/>
      <c r="AB878" s="147"/>
      <c r="AC878" s="147"/>
      <c r="AD878" s="147"/>
      <c r="AE878" s="147"/>
      <c r="AF878" s="147"/>
      <c r="AG878" s="147"/>
      <c r="AH878" s="147"/>
      <c r="AI878" s="147"/>
      <c r="AJ878" s="147"/>
      <c r="AK878" s="147"/>
      <c r="AL878" s="147"/>
      <c r="AM878" s="147"/>
      <c r="AN878" s="147"/>
      <c r="AO878" s="147"/>
      <c r="AP878" s="147"/>
      <c r="AQ878" s="147"/>
      <c r="AR878" s="147"/>
      <c r="AS878" s="147"/>
      <c r="AT878" s="147"/>
      <c r="AU878" s="147"/>
      <c r="AV878" s="147"/>
      <c r="AW878" s="147"/>
      <c r="AX878" s="147"/>
      <c r="AY878" s="147"/>
      <c r="AZ878" s="147"/>
      <c r="BA878" s="147"/>
      <c r="BB878" s="147"/>
      <c r="BC878" s="147"/>
      <c r="BD878" s="147"/>
      <c r="BE878" s="147"/>
      <c r="BF878" s="147"/>
      <c r="BG878" s="147"/>
      <c r="BH878" s="147"/>
      <c r="BI878" s="147"/>
      <c r="BJ878" s="147"/>
      <c r="BK878" s="147"/>
      <c r="BL878" s="147"/>
      <c r="BM878" s="147"/>
      <c r="BN878" s="147"/>
      <c r="BO878" s="147"/>
      <c r="BP878" s="147"/>
      <c r="BQ878" s="147"/>
      <c r="BR878" s="147"/>
      <c r="BS878" s="147"/>
      <c r="BT878" s="147"/>
      <c r="BU878" s="147"/>
      <c r="BV878" s="147"/>
      <c r="BW878" s="147"/>
      <c r="BX878" s="147"/>
      <c r="BY878" s="147"/>
      <c r="BZ878" s="147"/>
      <c r="CA878" s="147"/>
      <c r="CB878" s="147"/>
      <c r="CC878" s="147"/>
      <c r="CD878" s="147"/>
      <c r="CE878" s="147"/>
      <c r="CF878" s="147"/>
      <c r="CG878" s="147"/>
      <c r="CH878" s="147"/>
      <c r="CI878" s="147"/>
      <c r="CJ878" s="147"/>
      <c r="CK878" s="147"/>
    </row>
    <row r="879" spans="1:89">
      <c r="A879" s="147"/>
      <c r="B879" s="147"/>
      <c r="C879" s="147"/>
      <c r="D879" s="147"/>
      <c r="E879" s="147"/>
      <c r="F879" s="147"/>
      <c r="G879" s="147"/>
      <c r="H879" s="147"/>
      <c r="I879" s="147"/>
      <c r="J879" s="147"/>
      <c r="K879" s="147"/>
      <c r="L879" s="147"/>
      <c r="M879" s="147"/>
      <c r="N879" s="147"/>
      <c r="O879" s="158"/>
      <c r="P879" s="147"/>
      <c r="Q879" s="147"/>
      <c r="R879" s="147"/>
      <c r="S879" s="147"/>
      <c r="T879" s="147"/>
      <c r="U879" s="147"/>
      <c r="V879" s="147"/>
      <c r="W879" s="147"/>
      <c r="X879" s="147"/>
      <c r="Y879" s="147"/>
      <c r="Z879" s="147"/>
      <c r="AA879" s="147"/>
      <c r="AB879" s="147"/>
      <c r="AC879" s="147"/>
      <c r="AD879" s="147"/>
      <c r="AE879" s="147"/>
      <c r="AF879" s="147"/>
      <c r="AG879" s="147"/>
      <c r="AH879" s="147"/>
      <c r="AI879" s="147"/>
      <c r="AJ879" s="147"/>
      <c r="AK879" s="147"/>
      <c r="AL879" s="147"/>
      <c r="AM879" s="147"/>
      <c r="AN879" s="147"/>
      <c r="AO879" s="147"/>
      <c r="AP879" s="147"/>
      <c r="AQ879" s="147"/>
      <c r="AR879" s="147"/>
      <c r="AS879" s="147"/>
      <c r="AT879" s="147"/>
      <c r="AU879" s="147"/>
      <c r="AV879" s="147"/>
      <c r="AW879" s="147"/>
      <c r="AX879" s="147"/>
      <c r="AY879" s="147"/>
      <c r="AZ879" s="147"/>
      <c r="BA879" s="147"/>
      <c r="BB879" s="147"/>
      <c r="BC879" s="147"/>
      <c r="BD879" s="147"/>
      <c r="BE879" s="147"/>
      <c r="BF879" s="147"/>
      <c r="BG879" s="147"/>
      <c r="BH879" s="147"/>
      <c r="BI879" s="147"/>
      <c r="BJ879" s="147"/>
      <c r="BK879" s="147"/>
      <c r="BL879" s="147"/>
      <c r="BM879" s="147"/>
      <c r="BN879" s="147"/>
      <c r="BO879" s="147"/>
      <c r="BP879" s="147"/>
      <c r="BQ879" s="147"/>
      <c r="BR879" s="147"/>
      <c r="BS879" s="147"/>
      <c r="BT879" s="147"/>
      <c r="BU879" s="147"/>
      <c r="BV879" s="147"/>
      <c r="BW879" s="147"/>
      <c r="BX879" s="147"/>
      <c r="BY879" s="147"/>
      <c r="BZ879" s="147"/>
      <c r="CA879" s="147"/>
      <c r="CB879" s="147"/>
      <c r="CC879" s="147"/>
      <c r="CD879" s="147"/>
      <c r="CE879" s="147"/>
      <c r="CF879" s="147"/>
      <c r="CG879" s="147"/>
      <c r="CH879" s="147"/>
      <c r="CI879" s="147"/>
      <c r="CJ879" s="147"/>
      <c r="CK879" s="147"/>
    </row>
    <row r="880" spans="1:89">
      <c r="A880" s="147"/>
      <c r="B880" s="147"/>
      <c r="C880" s="147"/>
      <c r="D880" s="147"/>
      <c r="E880" s="147"/>
      <c r="F880" s="147"/>
      <c r="G880" s="147"/>
      <c r="H880" s="147"/>
      <c r="I880" s="147"/>
      <c r="J880" s="147"/>
      <c r="K880" s="147"/>
      <c r="L880" s="147"/>
      <c r="M880" s="147"/>
      <c r="N880" s="147"/>
      <c r="O880" s="158"/>
      <c r="P880" s="147"/>
      <c r="Q880" s="147"/>
      <c r="R880" s="147"/>
      <c r="S880" s="147"/>
      <c r="T880" s="147"/>
      <c r="U880" s="147"/>
      <c r="V880" s="147"/>
      <c r="W880" s="147"/>
      <c r="X880" s="147"/>
      <c r="Y880" s="147"/>
      <c r="Z880" s="147"/>
      <c r="AA880" s="147"/>
      <c r="AB880" s="147"/>
      <c r="AC880" s="147"/>
      <c r="AD880" s="147"/>
      <c r="AE880" s="147"/>
      <c r="AF880" s="147"/>
      <c r="AG880" s="147"/>
      <c r="AH880" s="147"/>
      <c r="AI880" s="147"/>
      <c r="AJ880" s="147"/>
      <c r="AK880" s="147"/>
      <c r="AL880" s="147"/>
      <c r="AM880" s="147"/>
      <c r="AN880" s="147"/>
      <c r="AO880" s="147"/>
      <c r="AP880" s="147"/>
      <c r="AQ880" s="147"/>
      <c r="AR880" s="147"/>
      <c r="AS880" s="147"/>
      <c r="AT880" s="147"/>
      <c r="AU880" s="147"/>
      <c r="AV880" s="147"/>
      <c r="AW880" s="147"/>
      <c r="AX880" s="147"/>
      <c r="AY880" s="147"/>
      <c r="AZ880" s="147"/>
      <c r="BA880" s="147"/>
      <c r="BB880" s="147"/>
      <c r="BC880" s="147"/>
      <c r="BD880" s="147"/>
      <c r="BE880" s="147"/>
      <c r="BF880" s="147"/>
      <c r="BG880" s="147"/>
      <c r="BH880" s="147"/>
      <c r="BI880" s="147"/>
      <c r="BJ880" s="147"/>
      <c r="BK880" s="147"/>
      <c r="BL880" s="147"/>
      <c r="BM880" s="147"/>
      <c r="BN880" s="147"/>
      <c r="BO880" s="147"/>
      <c r="BP880" s="147"/>
      <c r="BQ880" s="147"/>
      <c r="BR880" s="147"/>
      <c r="BS880" s="147"/>
      <c r="BT880" s="147"/>
      <c r="BU880" s="147"/>
      <c r="BV880" s="147"/>
      <c r="BW880" s="147"/>
      <c r="BX880" s="147"/>
      <c r="BY880" s="147"/>
      <c r="BZ880" s="147"/>
      <c r="CA880" s="147"/>
      <c r="CB880" s="147"/>
      <c r="CC880" s="147"/>
      <c r="CD880" s="147"/>
      <c r="CE880" s="147"/>
      <c r="CF880" s="147"/>
      <c r="CG880" s="147"/>
      <c r="CH880" s="147"/>
      <c r="CI880" s="147"/>
      <c r="CJ880" s="147"/>
      <c r="CK880" s="147"/>
    </row>
    <row r="881" spans="1:89">
      <c r="A881" s="147"/>
      <c r="B881" s="147"/>
      <c r="C881" s="147"/>
      <c r="D881" s="147"/>
      <c r="E881" s="147"/>
      <c r="F881" s="147"/>
      <c r="G881" s="147"/>
      <c r="H881" s="147"/>
      <c r="I881" s="147"/>
      <c r="J881" s="147"/>
      <c r="K881" s="147"/>
      <c r="L881" s="147"/>
      <c r="M881" s="147"/>
      <c r="N881" s="147"/>
      <c r="O881" s="158"/>
      <c r="P881" s="147"/>
      <c r="Q881" s="147"/>
      <c r="R881" s="147"/>
      <c r="S881" s="147"/>
      <c r="T881" s="147"/>
      <c r="U881" s="147"/>
      <c r="V881" s="147"/>
      <c r="W881" s="147"/>
      <c r="X881" s="147"/>
      <c r="Y881" s="147"/>
      <c r="Z881" s="147"/>
      <c r="AA881" s="147"/>
      <c r="AB881" s="147"/>
      <c r="AC881" s="147"/>
      <c r="AD881" s="147"/>
      <c r="AE881" s="147"/>
      <c r="AF881" s="147"/>
      <c r="AG881" s="147"/>
      <c r="AH881" s="147"/>
      <c r="AI881" s="147"/>
      <c r="AJ881" s="147"/>
      <c r="AK881" s="147"/>
      <c r="AL881" s="147"/>
      <c r="AM881" s="147"/>
      <c r="AN881" s="147"/>
      <c r="AO881" s="147"/>
      <c r="AP881" s="147"/>
      <c r="AQ881" s="147"/>
      <c r="AR881" s="147"/>
      <c r="AS881" s="147"/>
      <c r="AT881" s="147"/>
      <c r="AU881" s="147"/>
      <c r="AV881" s="147"/>
      <c r="AW881" s="147"/>
      <c r="AX881" s="147"/>
      <c r="AY881" s="147"/>
      <c r="AZ881" s="147"/>
      <c r="BA881" s="147"/>
      <c r="BB881" s="147"/>
      <c r="BC881" s="147"/>
      <c r="BD881" s="147"/>
      <c r="BE881" s="147"/>
      <c r="BF881" s="147"/>
      <c r="BG881" s="147"/>
      <c r="BH881" s="147"/>
      <c r="BI881" s="147"/>
      <c r="BJ881" s="147"/>
      <c r="BK881" s="147"/>
      <c r="BL881" s="147"/>
      <c r="BM881" s="147"/>
      <c r="BN881" s="147"/>
      <c r="BO881" s="147"/>
      <c r="BP881" s="147"/>
      <c r="BQ881" s="147"/>
      <c r="BR881" s="147"/>
      <c r="BS881" s="147"/>
      <c r="BT881" s="147"/>
      <c r="BU881" s="147"/>
      <c r="BV881" s="147"/>
      <c r="BW881" s="147"/>
      <c r="BX881" s="147"/>
      <c r="BY881" s="147"/>
      <c r="BZ881" s="147"/>
      <c r="CA881" s="147"/>
      <c r="CB881" s="147"/>
      <c r="CC881" s="147"/>
      <c r="CD881" s="147"/>
      <c r="CE881" s="147"/>
      <c r="CF881" s="147"/>
      <c r="CG881" s="147"/>
      <c r="CH881" s="147"/>
      <c r="CI881" s="147"/>
      <c r="CJ881" s="147"/>
      <c r="CK881" s="147"/>
    </row>
    <row r="882" spans="1:89">
      <c r="A882" s="147"/>
      <c r="B882" s="147"/>
      <c r="C882" s="147"/>
      <c r="D882" s="147"/>
      <c r="E882" s="147"/>
      <c r="F882" s="147"/>
      <c r="G882" s="147"/>
      <c r="H882" s="147"/>
      <c r="I882" s="147"/>
      <c r="J882" s="147"/>
      <c r="K882" s="147"/>
      <c r="L882" s="147"/>
      <c r="M882" s="147"/>
      <c r="N882" s="147"/>
      <c r="O882" s="158"/>
      <c r="P882" s="147"/>
      <c r="Q882" s="147"/>
      <c r="R882" s="147"/>
      <c r="S882" s="147"/>
      <c r="T882" s="147"/>
      <c r="U882" s="147"/>
      <c r="V882" s="147"/>
      <c r="W882" s="147"/>
      <c r="X882" s="147"/>
      <c r="Y882" s="147"/>
      <c r="Z882" s="147"/>
      <c r="AA882" s="147"/>
      <c r="AB882" s="147"/>
      <c r="AC882" s="147"/>
      <c r="AD882" s="147"/>
      <c r="AE882" s="147"/>
      <c r="AF882" s="147"/>
      <c r="AG882" s="147"/>
      <c r="AH882" s="147"/>
      <c r="AI882" s="147"/>
      <c r="AJ882" s="147"/>
      <c r="AK882" s="147"/>
      <c r="AL882" s="147"/>
      <c r="AM882" s="147"/>
      <c r="AN882" s="147"/>
      <c r="AO882" s="147"/>
      <c r="AP882" s="147"/>
      <c r="AQ882" s="147"/>
      <c r="AR882" s="147"/>
      <c r="AS882" s="147"/>
      <c r="AT882" s="147"/>
      <c r="AU882" s="147"/>
      <c r="AV882" s="147"/>
      <c r="AW882" s="147"/>
      <c r="AX882" s="147"/>
      <c r="AY882" s="147"/>
      <c r="AZ882" s="147"/>
      <c r="BA882" s="147"/>
      <c r="BB882" s="147"/>
      <c r="BC882" s="147"/>
      <c r="BD882" s="147"/>
      <c r="BE882" s="147"/>
      <c r="BF882" s="147"/>
      <c r="BG882" s="147"/>
      <c r="BH882" s="147"/>
      <c r="BI882" s="147"/>
      <c r="BJ882" s="147"/>
      <c r="BK882" s="147"/>
      <c r="BL882" s="147"/>
      <c r="BM882" s="147"/>
      <c r="BN882" s="147"/>
      <c r="BO882" s="147"/>
      <c r="BP882" s="147"/>
      <c r="BQ882" s="147"/>
      <c r="BR882" s="147"/>
      <c r="BS882" s="147"/>
      <c r="BT882" s="147"/>
      <c r="BU882" s="147"/>
      <c r="BV882" s="147"/>
      <c r="BW882" s="147"/>
      <c r="BX882" s="147"/>
      <c r="BY882" s="147"/>
      <c r="BZ882" s="147"/>
      <c r="CA882" s="147"/>
      <c r="CB882" s="147"/>
      <c r="CC882" s="147"/>
      <c r="CD882" s="147"/>
      <c r="CE882" s="147"/>
      <c r="CF882" s="147"/>
      <c r="CG882" s="147"/>
      <c r="CH882" s="147"/>
      <c r="CI882" s="147"/>
      <c r="CJ882" s="147"/>
      <c r="CK882" s="147"/>
    </row>
    <row r="883" spans="1:89">
      <c r="A883" s="147"/>
      <c r="B883" s="147"/>
      <c r="C883" s="147"/>
      <c r="D883" s="147"/>
      <c r="E883" s="147"/>
      <c r="F883" s="147"/>
      <c r="G883" s="147"/>
      <c r="H883" s="147"/>
      <c r="I883" s="147"/>
      <c r="J883" s="147"/>
      <c r="K883" s="147"/>
      <c r="L883" s="147"/>
      <c r="M883" s="147"/>
      <c r="N883" s="147"/>
      <c r="O883" s="158"/>
      <c r="P883" s="147"/>
      <c r="Q883" s="147"/>
      <c r="R883" s="147"/>
      <c r="S883" s="147"/>
      <c r="T883" s="147"/>
      <c r="U883" s="147"/>
      <c r="V883" s="147"/>
      <c r="W883" s="147"/>
      <c r="X883" s="147"/>
      <c r="Y883" s="147"/>
      <c r="Z883" s="147"/>
      <c r="AA883" s="147"/>
      <c r="AB883" s="147"/>
      <c r="AC883" s="147"/>
      <c r="AD883" s="147"/>
      <c r="AE883" s="147"/>
      <c r="AF883" s="147"/>
      <c r="AG883" s="147"/>
      <c r="AH883" s="147"/>
      <c r="AI883" s="147"/>
      <c r="AJ883" s="147"/>
      <c r="AK883" s="147"/>
      <c r="AL883" s="147"/>
      <c r="AM883" s="147"/>
      <c r="AN883" s="147"/>
      <c r="AO883" s="147"/>
      <c r="AP883" s="147"/>
      <c r="AQ883" s="147"/>
      <c r="AR883" s="147"/>
      <c r="AS883" s="147"/>
      <c r="AT883" s="147"/>
      <c r="AU883" s="147"/>
      <c r="AV883" s="147"/>
      <c r="AW883" s="147"/>
      <c r="AX883" s="147"/>
      <c r="AY883" s="147"/>
      <c r="AZ883" s="147"/>
      <c r="BA883" s="147"/>
      <c r="BB883" s="147"/>
      <c r="BC883" s="147"/>
      <c r="BD883" s="147"/>
      <c r="BE883" s="147"/>
      <c r="BF883" s="147"/>
      <c r="BG883" s="147"/>
      <c r="BH883" s="147"/>
      <c r="BI883" s="147"/>
      <c r="BJ883" s="147"/>
      <c r="BK883" s="147"/>
      <c r="BL883" s="147"/>
      <c r="BM883" s="147"/>
      <c r="BN883" s="147"/>
      <c r="BO883" s="147"/>
      <c r="BP883" s="147"/>
      <c r="BQ883" s="147"/>
      <c r="BR883" s="147"/>
      <c r="BS883" s="147"/>
      <c r="BT883" s="147"/>
      <c r="BU883" s="147"/>
      <c r="BV883" s="147"/>
      <c r="BW883" s="147"/>
      <c r="BX883" s="147"/>
      <c r="BY883" s="147"/>
      <c r="BZ883" s="147"/>
      <c r="CA883" s="147"/>
      <c r="CB883" s="147"/>
      <c r="CC883" s="147"/>
      <c r="CD883" s="147"/>
      <c r="CE883" s="147"/>
      <c r="CF883" s="147"/>
      <c r="CG883" s="147"/>
      <c r="CH883" s="147"/>
      <c r="CI883" s="147"/>
      <c r="CJ883" s="147"/>
      <c r="CK883" s="147"/>
    </row>
    <row r="884" spans="1:89">
      <c r="A884" s="147"/>
      <c r="B884" s="147"/>
      <c r="C884" s="147"/>
      <c r="D884" s="147"/>
      <c r="E884" s="147"/>
      <c r="F884" s="147"/>
      <c r="G884" s="147"/>
      <c r="H884" s="147"/>
      <c r="I884" s="147"/>
      <c r="J884" s="147"/>
      <c r="K884" s="147"/>
      <c r="L884" s="147"/>
      <c r="M884" s="147"/>
      <c r="N884" s="147"/>
      <c r="O884" s="158"/>
      <c r="P884" s="147"/>
      <c r="Q884" s="147"/>
      <c r="R884" s="147"/>
      <c r="S884" s="147"/>
      <c r="T884" s="147"/>
      <c r="U884" s="147"/>
      <c r="V884" s="147"/>
      <c r="W884" s="147"/>
      <c r="X884" s="147"/>
      <c r="Y884" s="147"/>
      <c r="Z884" s="147"/>
      <c r="AA884" s="147"/>
      <c r="AB884" s="147"/>
      <c r="AC884" s="147"/>
      <c r="AD884" s="147"/>
      <c r="AE884" s="147"/>
      <c r="AF884" s="147"/>
      <c r="AG884" s="147"/>
      <c r="AH884" s="147"/>
      <c r="AI884" s="147"/>
      <c r="AJ884" s="147"/>
      <c r="AK884" s="147"/>
      <c r="AL884" s="147"/>
      <c r="AM884" s="147"/>
      <c r="AN884" s="147"/>
      <c r="AO884" s="147"/>
      <c r="AP884" s="147"/>
      <c r="AQ884" s="147"/>
      <c r="AR884" s="147"/>
      <c r="AS884" s="147"/>
      <c r="AT884" s="147"/>
      <c r="AU884" s="147"/>
      <c r="AV884" s="147"/>
      <c r="AW884" s="147"/>
      <c r="AX884" s="147"/>
      <c r="AY884" s="147"/>
      <c r="AZ884" s="147"/>
      <c r="BA884" s="147"/>
      <c r="BB884" s="147"/>
      <c r="BC884" s="147"/>
      <c r="BD884" s="147"/>
      <c r="BE884" s="147"/>
      <c r="BF884" s="147"/>
      <c r="BG884" s="147"/>
      <c r="BH884" s="147"/>
      <c r="BI884" s="147"/>
      <c r="BJ884" s="147"/>
      <c r="BK884" s="147"/>
      <c r="BL884" s="147"/>
      <c r="BM884" s="147"/>
      <c r="BN884" s="147"/>
      <c r="BO884" s="147"/>
      <c r="BP884" s="147"/>
      <c r="BQ884" s="147"/>
      <c r="BR884" s="147"/>
      <c r="BS884" s="147"/>
      <c r="BT884" s="147"/>
      <c r="BU884" s="147"/>
      <c r="BV884" s="147"/>
      <c r="BW884" s="147"/>
      <c r="BX884" s="147"/>
      <c r="BY884" s="147"/>
      <c r="BZ884" s="147"/>
      <c r="CA884" s="147"/>
      <c r="CB884" s="147"/>
      <c r="CC884" s="147"/>
      <c r="CD884" s="147"/>
      <c r="CE884" s="147"/>
      <c r="CF884" s="147"/>
      <c r="CG884" s="147"/>
      <c r="CH884" s="147"/>
      <c r="CI884" s="147"/>
      <c r="CJ884" s="147"/>
      <c r="CK884" s="147"/>
    </row>
    <row r="885" spans="1:89">
      <c r="A885" s="147"/>
      <c r="B885" s="147"/>
      <c r="C885" s="147"/>
      <c r="D885" s="147"/>
      <c r="E885" s="147"/>
      <c r="F885" s="147"/>
      <c r="G885" s="147"/>
      <c r="H885" s="147"/>
      <c r="I885" s="147"/>
      <c r="J885" s="147"/>
      <c r="K885" s="147"/>
      <c r="L885" s="147"/>
      <c r="M885" s="147"/>
      <c r="N885" s="147"/>
      <c r="O885" s="158"/>
      <c r="P885" s="147"/>
      <c r="Q885" s="147"/>
      <c r="R885" s="147"/>
      <c r="S885" s="147"/>
      <c r="T885" s="147"/>
      <c r="U885" s="147"/>
      <c r="V885" s="147"/>
      <c r="W885" s="147"/>
      <c r="X885" s="147"/>
      <c r="Y885" s="147"/>
      <c r="Z885" s="147"/>
      <c r="AA885" s="147"/>
      <c r="AB885" s="147"/>
      <c r="AC885" s="147"/>
      <c r="AD885" s="147"/>
      <c r="AE885" s="147"/>
      <c r="AF885" s="147"/>
      <c r="AG885" s="147"/>
      <c r="AH885" s="147"/>
      <c r="AI885" s="147"/>
      <c r="AJ885" s="147"/>
      <c r="AK885" s="147"/>
      <c r="AL885" s="147"/>
      <c r="AM885" s="147"/>
      <c r="AN885" s="147"/>
      <c r="AO885" s="147"/>
      <c r="AP885" s="147"/>
      <c r="AQ885" s="147"/>
      <c r="AR885" s="147"/>
      <c r="AS885" s="147"/>
      <c r="AT885" s="147"/>
      <c r="AU885" s="147"/>
      <c r="AV885" s="147"/>
      <c r="AW885" s="147"/>
      <c r="AX885" s="147"/>
      <c r="AY885" s="147"/>
      <c r="AZ885" s="147"/>
      <c r="BA885" s="147"/>
      <c r="BB885" s="147"/>
      <c r="BC885" s="147"/>
      <c r="BD885" s="147"/>
      <c r="BE885" s="147"/>
      <c r="BF885" s="147"/>
      <c r="BG885" s="147"/>
      <c r="BH885" s="147"/>
      <c r="BI885" s="147"/>
      <c r="BJ885" s="147"/>
      <c r="BK885" s="147"/>
      <c r="BL885" s="147"/>
      <c r="BM885" s="147"/>
      <c r="BN885" s="147"/>
      <c r="BO885" s="147"/>
      <c r="BP885" s="147"/>
      <c r="BQ885" s="147"/>
      <c r="BR885" s="147"/>
      <c r="BS885" s="147"/>
      <c r="BT885" s="147"/>
      <c r="BU885" s="147"/>
      <c r="BV885" s="147"/>
      <c r="BW885" s="147"/>
      <c r="BX885" s="147"/>
      <c r="BY885" s="147"/>
      <c r="BZ885" s="147"/>
      <c r="CA885" s="147"/>
      <c r="CB885" s="147"/>
      <c r="CC885" s="147"/>
      <c r="CD885" s="147"/>
      <c r="CE885" s="147"/>
      <c r="CF885" s="147"/>
      <c r="CG885" s="147"/>
      <c r="CH885" s="147"/>
      <c r="CI885" s="147"/>
      <c r="CJ885" s="147"/>
      <c r="CK885" s="147"/>
    </row>
    <row r="886" spans="1:89">
      <c r="A886" s="147"/>
      <c r="B886" s="147"/>
      <c r="C886" s="147"/>
      <c r="D886" s="147"/>
      <c r="E886" s="147"/>
      <c r="F886" s="147"/>
      <c r="G886" s="147"/>
      <c r="H886" s="147"/>
      <c r="I886" s="147"/>
      <c r="J886" s="147"/>
      <c r="K886" s="147"/>
      <c r="L886" s="147"/>
      <c r="M886" s="147"/>
      <c r="N886" s="147"/>
      <c r="O886" s="158"/>
      <c r="P886" s="147"/>
      <c r="Q886" s="147"/>
      <c r="R886" s="147"/>
      <c r="S886" s="147"/>
      <c r="T886" s="147"/>
      <c r="U886" s="147"/>
      <c r="V886" s="147"/>
      <c r="W886" s="147"/>
      <c r="X886" s="147"/>
      <c r="Y886" s="147"/>
      <c r="Z886" s="147"/>
      <c r="AA886" s="147"/>
      <c r="AB886" s="147"/>
      <c r="AC886" s="147"/>
      <c r="AD886" s="147"/>
      <c r="AE886" s="147"/>
      <c r="AF886" s="147"/>
      <c r="AG886" s="147"/>
      <c r="AH886" s="147"/>
      <c r="AI886" s="147"/>
      <c r="AJ886" s="147"/>
      <c r="AK886" s="147"/>
      <c r="AL886" s="147"/>
      <c r="AM886" s="147"/>
      <c r="AN886" s="147"/>
      <c r="AO886" s="147"/>
      <c r="AP886" s="147"/>
      <c r="AQ886" s="147"/>
      <c r="AR886" s="147"/>
      <c r="AS886" s="147"/>
      <c r="AT886" s="147"/>
      <c r="AU886" s="147"/>
      <c r="AV886" s="147"/>
      <c r="AW886" s="147"/>
      <c r="AX886" s="147"/>
      <c r="AY886" s="147"/>
      <c r="AZ886" s="147"/>
      <c r="BA886" s="147"/>
      <c r="BB886" s="147"/>
      <c r="BC886" s="147"/>
      <c r="BD886" s="147"/>
      <c r="BE886" s="147"/>
      <c r="BF886" s="147"/>
      <c r="BG886" s="147"/>
      <c r="BH886" s="147"/>
      <c r="BI886" s="147"/>
      <c r="BJ886" s="147"/>
      <c r="BK886" s="147"/>
      <c r="BL886" s="147"/>
      <c r="BM886" s="147"/>
      <c r="BN886" s="147"/>
      <c r="BO886" s="147"/>
      <c r="BP886" s="147"/>
      <c r="BQ886" s="147"/>
      <c r="BR886" s="147"/>
      <c r="BS886" s="147"/>
      <c r="BT886" s="147"/>
      <c r="BU886" s="147"/>
      <c r="BV886" s="147"/>
      <c r="BW886" s="147"/>
      <c r="BX886" s="147"/>
      <c r="BY886" s="147"/>
      <c r="BZ886" s="147"/>
      <c r="CA886" s="147"/>
      <c r="CB886" s="147"/>
      <c r="CC886" s="147"/>
      <c r="CD886" s="147"/>
      <c r="CE886" s="147"/>
      <c r="CF886" s="147"/>
      <c r="CG886" s="147"/>
      <c r="CH886" s="147"/>
      <c r="CI886" s="147"/>
      <c r="CJ886" s="147"/>
      <c r="CK886" s="147"/>
    </row>
    <row r="887" spans="1:89">
      <c r="A887" s="147"/>
      <c r="B887" s="147"/>
      <c r="C887" s="147"/>
      <c r="D887" s="147"/>
      <c r="E887" s="147"/>
      <c r="F887" s="147"/>
      <c r="G887" s="147"/>
      <c r="H887" s="147"/>
      <c r="I887" s="147"/>
      <c r="J887" s="147"/>
      <c r="K887" s="147"/>
      <c r="L887" s="147"/>
      <c r="M887" s="147"/>
      <c r="N887" s="147"/>
      <c r="O887" s="158"/>
      <c r="P887" s="147"/>
      <c r="Q887" s="147"/>
      <c r="R887" s="147"/>
      <c r="S887" s="147"/>
      <c r="T887" s="147"/>
      <c r="U887" s="147"/>
      <c r="V887" s="147"/>
      <c r="W887" s="147"/>
      <c r="X887" s="147"/>
      <c r="Y887" s="147"/>
      <c r="Z887" s="147"/>
      <c r="AA887" s="147"/>
      <c r="AB887" s="147"/>
      <c r="AC887" s="147"/>
      <c r="AD887" s="147"/>
      <c r="AE887" s="147"/>
      <c r="AF887" s="147"/>
      <c r="AG887" s="147"/>
      <c r="AH887" s="147"/>
      <c r="AI887" s="147"/>
      <c r="AJ887" s="147"/>
      <c r="AK887" s="147"/>
      <c r="AL887" s="147"/>
      <c r="AM887" s="147"/>
      <c r="AN887" s="147"/>
      <c r="AO887" s="147"/>
      <c r="AP887" s="147"/>
      <c r="AQ887" s="147"/>
      <c r="AR887" s="147"/>
      <c r="AS887" s="147"/>
      <c r="AT887" s="147"/>
      <c r="AU887" s="147"/>
      <c r="AV887" s="147"/>
      <c r="AW887" s="147"/>
      <c r="AX887" s="147"/>
      <c r="AY887" s="147"/>
      <c r="AZ887" s="147"/>
      <c r="BA887" s="147"/>
      <c r="BB887" s="147"/>
      <c r="BC887" s="147"/>
      <c r="BD887" s="147"/>
      <c r="BE887" s="147"/>
      <c r="BF887" s="147"/>
      <c r="BG887" s="147"/>
      <c r="BH887" s="147"/>
      <c r="BI887" s="147"/>
      <c r="BJ887" s="147"/>
      <c r="BK887" s="147"/>
      <c r="BL887" s="147"/>
      <c r="BM887" s="147"/>
      <c r="BN887" s="147"/>
      <c r="BO887" s="147"/>
      <c r="BP887" s="147"/>
      <c r="BQ887" s="147"/>
      <c r="BR887" s="147"/>
      <c r="BS887" s="147"/>
      <c r="BT887" s="147"/>
      <c r="BU887" s="147"/>
      <c r="BV887" s="147"/>
      <c r="BW887" s="147"/>
      <c r="BX887" s="147"/>
      <c r="BY887" s="147"/>
      <c r="BZ887" s="147"/>
      <c r="CA887" s="147"/>
      <c r="CB887" s="147"/>
      <c r="CC887" s="147"/>
      <c r="CD887" s="147"/>
      <c r="CE887" s="147"/>
      <c r="CF887" s="147"/>
      <c r="CG887" s="147"/>
      <c r="CH887" s="147"/>
      <c r="CI887" s="147"/>
      <c r="CJ887" s="147"/>
      <c r="CK887" s="147"/>
    </row>
    <row r="888" spans="1:89">
      <c r="A888" s="147"/>
      <c r="B888" s="147"/>
      <c r="C888" s="147"/>
      <c r="D888" s="147"/>
      <c r="E888" s="147"/>
      <c r="F888" s="147"/>
      <c r="G888" s="147"/>
      <c r="H888" s="147"/>
      <c r="I888" s="147"/>
      <c r="J888" s="147"/>
      <c r="K888" s="147"/>
      <c r="L888" s="147"/>
      <c r="M888" s="147"/>
      <c r="N888" s="147"/>
      <c r="O888" s="158"/>
      <c r="P888" s="147"/>
      <c r="Q888" s="147"/>
      <c r="R888" s="147"/>
      <c r="S888" s="147"/>
      <c r="T888" s="147"/>
      <c r="U888" s="147"/>
      <c r="V888" s="147"/>
      <c r="W888" s="147"/>
      <c r="X888" s="147"/>
      <c r="Y888" s="147"/>
      <c r="Z888" s="147"/>
      <c r="AA888" s="147"/>
      <c r="AB888" s="147"/>
      <c r="AC888" s="147"/>
      <c r="AD888" s="147"/>
      <c r="AE888" s="147"/>
      <c r="AF888" s="147"/>
      <c r="AG888" s="147"/>
      <c r="AH888" s="147"/>
      <c r="AI888" s="147"/>
      <c r="AJ888" s="147"/>
      <c r="AK888" s="147"/>
      <c r="AL888" s="147"/>
      <c r="AM888" s="147"/>
      <c r="AN888" s="147"/>
      <c r="AO888" s="147"/>
      <c r="AP888" s="147"/>
      <c r="AQ888" s="147"/>
      <c r="AR888" s="147"/>
      <c r="AS888" s="147"/>
      <c r="AT888" s="147"/>
      <c r="AU888" s="147"/>
      <c r="AV888" s="147"/>
      <c r="AW888" s="147"/>
      <c r="AX888" s="147"/>
      <c r="AY888" s="147"/>
      <c r="AZ888" s="147"/>
      <c r="BA888" s="147"/>
      <c r="BB888" s="147"/>
      <c r="BC888" s="147"/>
      <c r="BD888" s="147"/>
      <c r="BE888" s="147"/>
      <c r="BF888" s="147"/>
      <c r="BG888" s="147"/>
      <c r="BH888" s="147"/>
      <c r="BI888" s="147"/>
      <c r="BJ888" s="147"/>
      <c r="BK888" s="147"/>
      <c r="BL888" s="147"/>
      <c r="BM888" s="147"/>
      <c r="BN888" s="147"/>
      <c r="BO888" s="147"/>
      <c r="BP888" s="147"/>
      <c r="BQ888" s="147"/>
      <c r="BR888" s="147"/>
      <c r="BS888" s="147"/>
      <c r="BT888" s="147"/>
      <c r="BU888" s="147"/>
      <c r="BV888" s="147"/>
      <c r="BW888" s="147"/>
      <c r="BX888" s="147"/>
      <c r="BY888" s="147"/>
      <c r="BZ888" s="147"/>
      <c r="CA888" s="147"/>
      <c r="CB888" s="147"/>
      <c r="CC888" s="147"/>
      <c r="CD888" s="147"/>
      <c r="CE888" s="147"/>
      <c r="CF888" s="147"/>
      <c r="CG888" s="147"/>
      <c r="CH888" s="147"/>
      <c r="CI888" s="147"/>
      <c r="CJ888" s="147"/>
      <c r="CK888" s="147"/>
    </row>
    <row r="889" spans="1:89">
      <c r="A889" s="147"/>
      <c r="B889" s="147"/>
      <c r="C889" s="147"/>
      <c r="D889" s="147"/>
      <c r="E889" s="147"/>
      <c r="F889" s="147"/>
      <c r="G889" s="147"/>
      <c r="H889" s="147"/>
      <c r="I889" s="147"/>
      <c r="J889" s="147"/>
      <c r="K889" s="147"/>
      <c r="L889" s="147"/>
      <c r="M889" s="147"/>
      <c r="N889" s="147"/>
      <c r="O889" s="158"/>
      <c r="P889" s="147"/>
      <c r="Q889" s="147"/>
      <c r="R889" s="147"/>
      <c r="S889" s="147"/>
      <c r="T889" s="147"/>
      <c r="U889" s="147"/>
      <c r="V889" s="147"/>
      <c r="W889" s="147"/>
      <c r="X889" s="147"/>
      <c r="Y889" s="147"/>
      <c r="Z889" s="147"/>
      <c r="AA889" s="147"/>
      <c r="AB889" s="147"/>
      <c r="AC889" s="147"/>
      <c r="AD889" s="147"/>
      <c r="AE889" s="147"/>
      <c r="AF889" s="147"/>
      <c r="AG889" s="147"/>
      <c r="AH889" s="147"/>
      <c r="AI889" s="147"/>
      <c r="AJ889" s="147"/>
      <c r="AK889" s="147"/>
      <c r="AL889" s="147"/>
      <c r="AM889" s="147"/>
      <c r="AN889" s="147"/>
      <c r="AO889" s="147"/>
      <c r="AP889" s="147"/>
      <c r="AQ889" s="147"/>
      <c r="AR889" s="147"/>
      <c r="AS889" s="147"/>
      <c r="AT889" s="147"/>
      <c r="AU889" s="147"/>
      <c r="AV889" s="147"/>
      <c r="AW889" s="147"/>
      <c r="AX889" s="147"/>
      <c r="AY889" s="147"/>
      <c r="AZ889" s="147"/>
      <c r="BA889" s="147"/>
      <c r="BB889" s="147"/>
      <c r="BC889" s="147"/>
      <c r="BD889" s="147"/>
      <c r="BE889" s="147"/>
      <c r="BF889" s="147"/>
      <c r="BG889" s="147"/>
      <c r="BH889" s="147"/>
      <c r="BI889" s="147"/>
      <c r="BJ889" s="147"/>
      <c r="BK889" s="147"/>
      <c r="BL889" s="147"/>
      <c r="BM889" s="147"/>
      <c r="BN889" s="147"/>
      <c r="BO889" s="147"/>
      <c r="BP889" s="147"/>
      <c r="BQ889" s="147"/>
      <c r="BR889" s="147"/>
      <c r="BS889" s="147"/>
      <c r="BT889" s="147"/>
      <c r="BU889" s="147"/>
      <c r="BV889" s="147"/>
      <c r="BW889" s="147"/>
      <c r="BX889" s="147"/>
      <c r="BY889" s="147"/>
      <c r="BZ889" s="147"/>
      <c r="CA889" s="147"/>
      <c r="CB889" s="147"/>
      <c r="CC889" s="147"/>
      <c r="CD889" s="147"/>
      <c r="CE889" s="147"/>
      <c r="CF889" s="147"/>
      <c r="CG889" s="147"/>
      <c r="CH889" s="147"/>
      <c r="CI889" s="147"/>
      <c r="CJ889" s="147"/>
      <c r="CK889" s="147"/>
    </row>
    <row r="890" spans="1:89">
      <c r="A890" s="147"/>
      <c r="B890" s="147"/>
      <c r="C890" s="147"/>
      <c r="D890" s="147"/>
      <c r="E890" s="147"/>
      <c r="F890" s="147"/>
      <c r="G890" s="147"/>
      <c r="H890" s="147"/>
      <c r="I890" s="147"/>
      <c r="J890" s="147"/>
      <c r="K890" s="147"/>
      <c r="L890" s="147"/>
      <c r="M890" s="147"/>
      <c r="N890" s="147"/>
      <c r="O890" s="158"/>
      <c r="P890" s="147"/>
      <c r="Q890" s="147"/>
      <c r="R890" s="147"/>
      <c r="S890" s="147"/>
      <c r="T890" s="147"/>
      <c r="U890" s="147"/>
      <c r="V890" s="147"/>
      <c r="W890" s="147"/>
      <c r="X890" s="147"/>
      <c r="Y890" s="147"/>
      <c r="Z890" s="147"/>
      <c r="AA890" s="147"/>
      <c r="AB890" s="147"/>
      <c r="AC890" s="147"/>
      <c r="AD890" s="147"/>
      <c r="AE890" s="147"/>
      <c r="AF890" s="147"/>
      <c r="AG890" s="147"/>
      <c r="AH890" s="147"/>
      <c r="AI890" s="147"/>
      <c r="AJ890" s="147"/>
      <c r="AK890" s="147"/>
      <c r="AL890" s="147"/>
      <c r="AM890" s="147"/>
      <c r="AN890" s="147"/>
      <c r="AO890" s="147"/>
      <c r="AP890" s="147"/>
      <c r="AQ890" s="147"/>
      <c r="AR890" s="147"/>
      <c r="AS890" s="147"/>
      <c r="AT890" s="147"/>
      <c r="AU890" s="147"/>
      <c r="AV890" s="147"/>
      <c r="AW890" s="147"/>
      <c r="AX890" s="147"/>
      <c r="AY890" s="147"/>
      <c r="AZ890" s="147"/>
      <c r="BA890" s="147"/>
      <c r="BB890" s="147"/>
      <c r="BC890" s="147"/>
      <c r="BD890" s="147"/>
      <c r="BE890" s="147"/>
      <c r="BF890" s="147"/>
      <c r="BG890" s="147"/>
      <c r="BH890" s="147"/>
      <c r="BI890" s="147"/>
      <c r="BJ890" s="147"/>
      <c r="BK890" s="147"/>
      <c r="BL890" s="147"/>
      <c r="BM890" s="147"/>
      <c r="BN890" s="147"/>
      <c r="BO890" s="147"/>
      <c r="BP890" s="147"/>
      <c r="BQ890" s="147"/>
      <c r="BR890" s="147"/>
      <c r="BS890" s="147"/>
      <c r="BT890" s="147"/>
      <c r="BU890" s="147"/>
      <c r="BV890" s="147"/>
      <c r="BW890" s="147"/>
      <c r="BX890" s="147"/>
      <c r="BY890" s="147"/>
      <c r="BZ890" s="147"/>
      <c r="CA890" s="147"/>
      <c r="CB890" s="147"/>
      <c r="CC890" s="147"/>
      <c r="CD890" s="147"/>
      <c r="CE890" s="147"/>
      <c r="CF890" s="147"/>
      <c r="CG890" s="147"/>
      <c r="CH890" s="147"/>
      <c r="CI890" s="147"/>
      <c r="CJ890" s="147"/>
      <c r="CK890" s="147"/>
    </row>
    <row r="891" spans="1:89">
      <c r="A891" s="147"/>
      <c r="B891" s="147"/>
      <c r="C891" s="147"/>
      <c r="D891" s="147"/>
      <c r="E891" s="147"/>
      <c r="F891" s="147"/>
      <c r="G891" s="147"/>
      <c r="H891" s="147"/>
      <c r="I891" s="147"/>
      <c r="J891" s="147"/>
      <c r="K891" s="147"/>
      <c r="L891" s="147"/>
      <c r="M891" s="147"/>
      <c r="N891" s="147"/>
      <c r="O891" s="158"/>
      <c r="P891" s="147"/>
      <c r="Q891" s="147"/>
      <c r="R891" s="147"/>
      <c r="S891" s="147"/>
      <c r="T891" s="147"/>
      <c r="U891" s="147"/>
      <c r="V891" s="147"/>
      <c r="W891" s="147"/>
      <c r="X891" s="147"/>
      <c r="Y891" s="147"/>
      <c r="Z891" s="147"/>
      <c r="AA891" s="147"/>
      <c r="AB891" s="147"/>
      <c r="AC891" s="147"/>
      <c r="AD891" s="147"/>
      <c r="AE891" s="147"/>
      <c r="AF891" s="147"/>
      <c r="AG891" s="147"/>
      <c r="AH891" s="147"/>
      <c r="AI891" s="147"/>
      <c r="AJ891" s="147"/>
      <c r="AK891" s="147"/>
      <c r="AL891" s="147"/>
      <c r="AM891" s="147"/>
      <c r="AN891" s="147"/>
      <c r="AO891" s="147"/>
      <c r="AP891" s="147"/>
      <c r="AQ891" s="147"/>
      <c r="AR891" s="147"/>
      <c r="AS891" s="147"/>
      <c r="AT891" s="147"/>
      <c r="AU891" s="147"/>
      <c r="AV891" s="147"/>
      <c r="AW891" s="147"/>
      <c r="AX891" s="147"/>
      <c r="AY891" s="147"/>
      <c r="AZ891" s="147"/>
      <c r="BA891" s="147"/>
      <c r="BB891" s="147"/>
      <c r="BC891" s="147"/>
      <c r="BD891" s="147"/>
      <c r="BE891" s="147"/>
      <c r="BF891" s="147"/>
      <c r="BG891" s="147"/>
      <c r="BH891" s="147"/>
      <c r="BI891" s="147"/>
      <c r="BJ891" s="147"/>
      <c r="BK891" s="147"/>
      <c r="BL891" s="147"/>
      <c r="BM891" s="147"/>
      <c r="BN891" s="147"/>
      <c r="BO891" s="147"/>
      <c r="BP891" s="147"/>
      <c r="BQ891" s="147"/>
      <c r="BR891" s="147"/>
      <c r="BS891" s="147"/>
      <c r="BT891" s="147"/>
      <c r="BU891" s="147"/>
      <c r="BV891" s="147"/>
      <c r="BW891" s="147"/>
      <c r="BX891" s="147"/>
      <c r="BY891" s="147"/>
      <c r="BZ891" s="147"/>
      <c r="CA891" s="147"/>
      <c r="CB891" s="147"/>
      <c r="CC891" s="147"/>
      <c r="CD891" s="147"/>
      <c r="CE891" s="147"/>
      <c r="CF891" s="147"/>
      <c r="CG891" s="147"/>
      <c r="CH891" s="147"/>
      <c r="CI891" s="147"/>
      <c r="CJ891" s="147"/>
      <c r="CK891" s="147"/>
    </row>
    <row r="892" spans="1:89">
      <c r="A892" s="147"/>
      <c r="B892" s="147"/>
      <c r="C892" s="147"/>
      <c r="D892" s="147"/>
      <c r="E892" s="147"/>
      <c r="F892" s="147"/>
      <c r="G892" s="147"/>
      <c r="H892" s="147"/>
      <c r="I892" s="147"/>
      <c r="J892" s="147"/>
      <c r="K892" s="147"/>
      <c r="L892" s="147"/>
      <c r="M892" s="147"/>
      <c r="N892" s="147"/>
      <c r="O892" s="158"/>
      <c r="P892" s="147"/>
      <c r="Q892" s="147"/>
      <c r="R892" s="147"/>
      <c r="S892" s="147"/>
      <c r="T892" s="147"/>
      <c r="U892" s="147"/>
      <c r="V892" s="147"/>
      <c r="W892" s="147"/>
      <c r="X892" s="147"/>
      <c r="Y892" s="147"/>
      <c r="Z892" s="147"/>
      <c r="AA892" s="147"/>
      <c r="AB892" s="147"/>
      <c r="AC892" s="147"/>
      <c r="AD892" s="147"/>
      <c r="AE892" s="147"/>
      <c r="AF892" s="147"/>
      <c r="AG892" s="147"/>
      <c r="AH892" s="147"/>
      <c r="AI892" s="147"/>
      <c r="AJ892" s="147"/>
      <c r="AK892" s="147"/>
      <c r="AL892" s="147"/>
      <c r="AM892" s="147"/>
      <c r="AN892" s="147"/>
      <c r="AO892" s="147"/>
      <c r="AP892" s="147"/>
      <c r="AQ892" s="147"/>
      <c r="AR892" s="147"/>
      <c r="AS892" s="147"/>
      <c r="AT892" s="147"/>
      <c r="AU892" s="147"/>
      <c r="AV892" s="147"/>
      <c r="AW892" s="147"/>
      <c r="AX892" s="147"/>
      <c r="AY892" s="147"/>
      <c r="AZ892" s="147"/>
      <c r="BA892" s="147"/>
      <c r="BB892" s="147"/>
      <c r="BC892" s="147"/>
      <c r="BD892" s="147"/>
      <c r="BE892" s="147"/>
      <c r="BF892" s="147"/>
      <c r="BG892" s="147"/>
      <c r="BH892" s="147"/>
      <c r="BI892" s="147"/>
      <c r="BJ892" s="147"/>
      <c r="BK892" s="147"/>
      <c r="BL892" s="147"/>
      <c r="BM892" s="147"/>
      <c r="BN892" s="147"/>
      <c r="BO892" s="147"/>
      <c r="BP892" s="147"/>
      <c r="BQ892" s="147"/>
      <c r="BR892" s="147"/>
      <c r="BS892" s="147"/>
      <c r="BT892" s="147"/>
      <c r="BU892" s="147"/>
      <c r="BV892" s="147"/>
      <c r="BW892" s="147"/>
      <c r="BX892" s="147"/>
      <c r="BY892" s="147"/>
      <c r="BZ892" s="147"/>
      <c r="CA892" s="147"/>
      <c r="CB892" s="147"/>
      <c r="CC892" s="147"/>
      <c r="CD892" s="147"/>
      <c r="CE892" s="147"/>
      <c r="CF892" s="147"/>
      <c r="CG892" s="147"/>
      <c r="CH892" s="147"/>
      <c r="CI892" s="147"/>
      <c r="CJ892" s="147"/>
      <c r="CK892" s="147"/>
    </row>
    <row r="893" spans="1:89">
      <c r="A893" s="147"/>
      <c r="B893" s="147"/>
      <c r="C893" s="147"/>
      <c r="D893" s="147"/>
      <c r="E893" s="147"/>
      <c r="F893" s="147"/>
      <c r="G893" s="147"/>
      <c r="H893" s="147"/>
      <c r="I893" s="147"/>
      <c r="J893" s="147"/>
      <c r="K893" s="147"/>
      <c r="L893" s="147"/>
      <c r="M893" s="147"/>
      <c r="N893" s="147"/>
      <c r="O893" s="158"/>
      <c r="P893" s="147"/>
      <c r="Q893" s="147"/>
      <c r="R893" s="147"/>
      <c r="S893" s="147"/>
      <c r="T893" s="147"/>
      <c r="U893" s="147"/>
      <c r="V893" s="147"/>
      <c r="W893" s="147"/>
      <c r="X893" s="147"/>
      <c r="Y893" s="147"/>
      <c r="Z893" s="147"/>
      <c r="AA893" s="147"/>
      <c r="AB893" s="147"/>
      <c r="AC893" s="147"/>
      <c r="AD893" s="147"/>
      <c r="AE893" s="147"/>
      <c r="AF893" s="147"/>
      <c r="AG893" s="147"/>
      <c r="AH893" s="147"/>
      <c r="AI893" s="147"/>
      <c r="AJ893" s="147"/>
      <c r="AK893" s="147"/>
      <c r="AL893" s="147"/>
      <c r="AM893" s="147"/>
      <c r="AN893" s="147"/>
      <c r="AO893" s="147"/>
      <c r="AP893" s="147"/>
      <c r="AQ893" s="147"/>
      <c r="AR893" s="147"/>
      <c r="AS893" s="147"/>
      <c r="AT893" s="147"/>
      <c r="AU893" s="147"/>
      <c r="AV893" s="147"/>
      <c r="AW893" s="147"/>
      <c r="AX893" s="147"/>
      <c r="AY893" s="147"/>
      <c r="AZ893" s="147"/>
      <c r="BA893" s="147"/>
      <c r="BB893" s="147"/>
      <c r="BC893" s="147"/>
      <c r="BD893" s="147"/>
      <c r="BE893" s="147"/>
      <c r="BF893" s="147"/>
      <c r="BG893" s="147"/>
      <c r="BH893" s="147"/>
      <c r="BI893" s="147"/>
      <c r="BJ893" s="147"/>
      <c r="BK893" s="147"/>
      <c r="BL893" s="147"/>
      <c r="BM893" s="147"/>
      <c r="BN893" s="147"/>
      <c r="BO893" s="147"/>
      <c r="BP893" s="147"/>
      <c r="BQ893" s="147"/>
      <c r="BR893" s="147"/>
      <c r="BS893" s="147"/>
      <c r="BT893" s="147"/>
      <c r="BU893" s="147"/>
      <c r="BV893" s="147"/>
      <c r="BW893" s="147"/>
      <c r="BX893" s="147"/>
      <c r="BY893" s="147"/>
      <c r="BZ893" s="147"/>
      <c r="CA893" s="147"/>
      <c r="CB893" s="147"/>
      <c r="CC893" s="147"/>
      <c r="CD893" s="147"/>
      <c r="CE893" s="147"/>
      <c r="CF893" s="147"/>
      <c r="CG893" s="147"/>
      <c r="CH893" s="147"/>
      <c r="CI893" s="147"/>
      <c r="CJ893" s="147"/>
      <c r="CK893" s="147"/>
    </row>
    <row r="894" spans="1:89">
      <c r="A894" s="147"/>
      <c r="B894" s="147"/>
      <c r="C894" s="147"/>
      <c r="D894" s="147"/>
      <c r="E894" s="147"/>
      <c r="F894" s="147"/>
      <c r="G894" s="147"/>
      <c r="H894" s="147"/>
      <c r="I894" s="147"/>
      <c r="J894" s="147"/>
      <c r="K894" s="147"/>
      <c r="L894" s="147"/>
      <c r="M894" s="147"/>
      <c r="N894" s="147"/>
      <c r="O894" s="158"/>
      <c r="P894" s="147"/>
      <c r="Q894" s="147"/>
      <c r="R894" s="147"/>
      <c r="S894" s="147"/>
      <c r="T894" s="147"/>
      <c r="U894" s="147"/>
      <c r="V894" s="147"/>
      <c r="W894" s="147"/>
      <c r="X894" s="147"/>
      <c r="Y894" s="147"/>
      <c r="Z894" s="147"/>
      <c r="AA894" s="147"/>
      <c r="AB894" s="147"/>
      <c r="AC894" s="147"/>
      <c r="AD894" s="147"/>
      <c r="AE894" s="147"/>
      <c r="AF894" s="147"/>
      <c r="AG894" s="147"/>
      <c r="AH894" s="147"/>
      <c r="AI894" s="147"/>
      <c r="AJ894" s="147"/>
      <c r="AK894" s="147"/>
      <c r="AL894" s="147"/>
      <c r="AM894" s="147"/>
      <c r="AN894" s="147"/>
      <c r="AO894" s="147"/>
      <c r="AP894" s="147"/>
      <c r="AQ894" s="147"/>
      <c r="AR894" s="147"/>
      <c r="AS894" s="147"/>
      <c r="AT894" s="147"/>
      <c r="AU894" s="147"/>
      <c r="AV894" s="147"/>
      <c r="AW894" s="147"/>
      <c r="AX894" s="147"/>
      <c r="AY894" s="147"/>
      <c r="AZ894" s="147"/>
      <c r="BA894" s="147"/>
      <c r="BB894" s="147"/>
      <c r="BC894" s="147"/>
      <c r="BD894" s="147"/>
      <c r="BE894" s="147"/>
      <c r="BF894" s="147"/>
      <c r="BG894" s="147"/>
      <c r="BH894" s="147"/>
      <c r="BI894" s="147"/>
      <c r="BJ894" s="147"/>
      <c r="BK894" s="147"/>
      <c r="BL894" s="147"/>
      <c r="BM894" s="147"/>
      <c r="BN894" s="147"/>
      <c r="BO894" s="147"/>
      <c r="BP894" s="147"/>
      <c r="BQ894" s="147"/>
      <c r="BR894" s="147"/>
      <c r="BS894" s="147"/>
      <c r="BT894" s="147"/>
      <c r="BU894" s="147"/>
      <c r="BV894" s="147"/>
      <c r="BW894" s="147"/>
      <c r="BX894" s="147"/>
      <c r="BY894" s="147"/>
      <c r="BZ894" s="147"/>
      <c r="CA894" s="147"/>
      <c r="CB894" s="147"/>
      <c r="CC894" s="147"/>
      <c r="CD894" s="147"/>
      <c r="CE894" s="147"/>
      <c r="CF894" s="147"/>
      <c r="CG894" s="147"/>
      <c r="CH894" s="147"/>
      <c r="CI894" s="147"/>
      <c r="CJ894" s="147"/>
      <c r="CK894" s="147"/>
    </row>
    <row r="895" spans="1:89">
      <c r="A895" s="147"/>
      <c r="B895" s="147"/>
      <c r="C895" s="147"/>
      <c r="D895" s="147"/>
      <c r="E895" s="147"/>
      <c r="F895" s="147"/>
      <c r="G895" s="147"/>
      <c r="H895" s="147"/>
      <c r="I895" s="147"/>
      <c r="J895" s="147"/>
      <c r="K895" s="147"/>
      <c r="L895" s="147"/>
      <c r="M895" s="147"/>
      <c r="N895" s="147"/>
      <c r="O895" s="158"/>
      <c r="P895" s="147"/>
      <c r="Q895" s="147"/>
      <c r="R895" s="147"/>
      <c r="S895" s="147"/>
      <c r="T895" s="147"/>
      <c r="U895" s="147"/>
      <c r="V895" s="147"/>
      <c r="W895" s="147"/>
      <c r="X895" s="147"/>
      <c r="Y895" s="147"/>
      <c r="Z895" s="147"/>
      <c r="AA895" s="147"/>
      <c r="AB895" s="147"/>
      <c r="AC895" s="147"/>
      <c r="AD895" s="147"/>
      <c r="AE895" s="147"/>
      <c r="AF895" s="147"/>
      <c r="AG895" s="147"/>
      <c r="AH895" s="147"/>
      <c r="AI895" s="147"/>
      <c r="AJ895" s="147"/>
      <c r="AK895" s="147"/>
      <c r="AL895" s="147"/>
      <c r="AM895" s="147"/>
      <c r="AN895" s="147"/>
      <c r="AO895" s="147"/>
      <c r="AP895" s="147"/>
      <c r="AQ895" s="147"/>
      <c r="AR895" s="147"/>
      <c r="AS895" s="147"/>
      <c r="AT895" s="147"/>
      <c r="AU895" s="147"/>
      <c r="AV895" s="147"/>
      <c r="AW895" s="147"/>
      <c r="AX895" s="147"/>
      <c r="AY895" s="147"/>
      <c r="AZ895" s="147"/>
      <c r="BA895" s="147"/>
      <c r="BB895" s="147"/>
      <c r="BC895" s="147"/>
      <c r="BD895" s="147"/>
      <c r="BE895" s="147"/>
      <c r="BF895" s="147"/>
      <c r="BG895" s="147"/>
      <c r="BH895" s="147"/>
      <c r="BI895" s="147"/>
      <c r="BJ895" s="147"/>
      <c r="BK895" s="147"/>
      <c r="BL895" s="147"/>
      <c r="BM895" s="147"/>
      <c r="BN895" s="147"/>
      <c r="BO895" s="147"/>
      <c r="BP895" s="147"/>
      <c r="BQ895" s="147"/>
      <c r="BR895" s="147"/>
      <c r="BS895" s="147"/>
      <c r="BT895" s="147"/>
      <c r="BU895" s="147"/>
      <c r="BV895" s="147"/>
      <c r="BW895" s="147"/>
      <c r="BX895" s="147"/>
      <c r="BY895" s="147"/>
      <c r="BZ895" s="147"/>
      <c r="CA895" s="147"/>
      <c r="CB895" s="147"/>
      <c r="CC895" s="147"/>
      <c r="CD895" s="147"/>
      <c r="CE895" s="147"/>
      <c r="CF895" s="147"/>
      <c r="CG895" s="147"/>
      <c r="CH895" s="147"/>
      <c r="CI895" s="147"/>
      <c r="CJ895" s="147"/>
      <c r="CK895" s="147"/>
    </row>
    <row r="896" spans="1:89">
      <c r="A896" s="147"/>
      <c r="B896" s="147"/>
      <c r="C896" s="147"/>
      <c r="D896" s="147"/>
      <c r="E896" s="147"/>
      <c r="F896" s="147"/>
      <c r="G896" s="147"/>
      <c r="H896" s="147"/>
      <c r="I896" s="147"/>
      <c r="J896" s="147"/>
      <c r="K896" s="147"/>
      <c r="L896" s="147"/>
      <c r="M896" s="147"/>
      <c r="N896" s="147"/>
      <c r="O896" s="158"/>
      <c r="P896" s="147"/>
      <c r="Q896" s="147"/>
      <c r="R896" s="147"/>
      <c r="S896" s="147"/>
      <c r="T896" s="147"/>
      <c r="U896" s="147"/>
      <c r="V896" s="147"/>
      <c r="W896" s="147"/>
      <c r="X896" s="147"/>
      <c r="Y896" s="147"/>
      <c r="Z896" s="147"/>
      <c r="AA896" s="147"/>
      <c r="AB896" s="147"/>
      <c r="AC896" s="147"/>
      <c r="AD896" s="147"/>
      <c r="AE896" s="147"/>
      <c r="AF896" s="147"/>
      <c r="AG896" s="147"/>
      <c r="AH896" s="147"/>
      <c r="AI896" s="147"/>
      <c r="AJ896" s="147"/>
      <c r="AK896" s="147"/>
      <c r="AL896" s="147"/>
      <c r="AM896" s="147"/>
      <c r="AN896" s="147"/>
      <c r="AO896" s="147"/>
      <c r="AP896" s="147"/>
      <c r="AQ896" s="147"/>
      <c r="AR896" s="147"/>
      <c r="AS896" s="147"/>
      <c r="AT896" s="147"/>
      <c r="AU896" s="147"/>
      <c r="AV896" s="147"/>
      <c r="AW896" s="147"/>
      <c r="AX896" s="147"/>
      <c r="AY896" s="147"/>
      <c r="AZ896" s="147"/>
      <c r="BA896" s="147"/>
      <c r="BB896" s="147"/>
      <c r="BC896" s="147"/>
      <c r="BD896" s="147"/>
      <c r="BE896" s="147"/>
      <c r="BF896" s="147"/>
      <c r="BG896" s="147"/>
      <c r="BH896" s="147"/>
      <c r="BI896" s="147"/>
      <c r="BJ896" s="147"/>
      <c r="BK896" s="147"/>
      <c r="BL896" s="147"/>
      <c r="BM896" s="147"/>
      <c r="BN896" s="147"/>
      <c r="BO896" s="147"/>
      <c r="BP896" s="147"/>
      <c r="BQ896" s="147"/>
      <c r="BR896" s="147"/>
      <c r="BS896" s="147"/>
      <c r="BT896" s="147"/>
      <c r="BU896" s="147"/>
      <c r="BV896" s="147"/>
      <c r="BW896" s="147"/>
      <c r="BX896" s="147"/>
      <c r="BY896" s="147"/>
      <c r="BZ896" s="147"/>
      <c r="CA896" s="147"/>
      <c r="CB896" s="147"/>
      <c r="CC896" s="147"/>
      <c r="CD896" s="147"/>
      <c r="CE896" s="147"/>
      <c r="CF896" s="147"/>
      <c r="CG896" s="147"/>
      <c r="CH896" s="147"/>
      <c r="CI896" s="147"/>
      <c r="CJ896" s="147"/>
      <c r="CK896" s="147"/>
    </row>
    <row r="897" spans="1:89">
      <c r="A897" s="147"/>
      <c r="B897" s="147"/>
      <c r="C897" s="147"/>
      <c r="D897" s="147"/>
      <c r="E897" s="147"/>
      <c r="F897" s="147"/>
      <c r="G897" s="147"/>
      <c r="H897" s="147"/>
      <c r="I897" s="147"/>
      <c r="J897" s="147"/>
      <c r="K897" s="147"/>
      <c r="L897" s="147"/>
      <c r="M897" s="147"/>
      <c r="N897" s="147"/>
      <c r="O897" s="158"/>
      <c r="P897" s="147"/>
      <c r="Q897" s="147"/>
      <c r="R897" s="147"/>
      <c r="S897" s="147"/>
      <c r="T897" s="147"/>
      <c r="U897" s="147"/>
      <c r="V897" s="147"/>
      <c r="W897" s="147"/>
      <c r="X897" s="147"/>
      <c r="Y897" s="147"/>
      <c r="Z897" s="147"/>
      <c r="AA897" s="147"/>
      <c r="AB897" s="147"/>
      <c r="AC897" s="147"/>
      <c r="AD897" s="147"/>
      <c r="AE897" s="147"/>
      <c r="AF897" s="147"/>
      <c r="AG897" s="147"/>
      <c r="AH897" s="147"/>
      <c r="AI897" s="147"/>
      <c r="AJ897" s="147"/>
      <c r="AK897" s="147"/>
      <c r="AL897" s="147"/>
      <c r="AM897" s="147"/>
      <c r="AN897" s="147"/>
      <c r="AO897" s="147"/>
      <c r="AP897" s="147"/>
      <c r="AQ897" s="147"/>
      <c r="AR897" s="147"/>
      <c r="AS897" s="147"/>
      <c r="AT897" s="147"/>
      <c r="AU897" s="147"/>
      <c r="AV897" s="147"/>
      <c r="AW897" s="147"/>
      <c r="AX897" s="147"/>
      <c r="AY897" s="147"/>
      <c r="AZ897" s="147"/>
      <c r="BA897" s="147"/>
      <c r="BB897" s="147"/>
      <c r="BC897" s="147"/>
      <c r="BD897" s="147"/>
      <c r="BE897" s="147"/>
      <c r="BF897" s="147"/>
      <c r="BG897" s="147"/>
      <c r="BH897" s="147"/>
      <c r="BI897" s="147"/>
      <c r="BJ897" s="147"/>
      <c r="BK897" s="147"/>
      <c r="BL897" s="147"/>
      <c r="BM897" s="147"/>
      <c r="BN897" s="147"/>
      <c r="BO897" s="147"/>
      <c r="BP897" s="147"/>
      <c r="BQ897" s="147"/>
      <c r="BR897" s="147"/>
      <c r="BS897" s="147"/>
      <c r="BT897" s="147"/>
      <c r="BU897" s="147"/>
      <c r="BV897" s="147"/>
      <c r="BW897" s="147"/>
      <c r="BX897" s="147"/>
      <c r="BY897" s="147"/>
      <c r="BZ897" s="147"/>
      <c r="CA897" s="147"/>
      <c r="CB897" s="147"/>
      <c r="CC897" s="147"/>
      <c r="CD897" s="147"/>
      <c r="CE897" s="147"/>
      <c r="CF897" s="147"/>
      <c r="CG897" s="147"/>
      <c r="CH897" s="147"/>
      <c r="CI897" s="147"/>
      <c r="CJ897" s="147"/>
      <c r="CK897" s="147"/>
    </row>
    <row r="898" spans="1:89">
      <c r="A898" s="147"/>
      <c r="B898" s="147"/>
      <c r="C898" s="147"/>
      <c r="D898" s="147"/>
      <c r="E898" s="147"/>
      <c r="F898" s="147"/>
      <c r="G898" s="147"/>
      <c r="H898" s="147"/>
      <c r="I898" s="147"/>
      <c r="J898" s="147"/>
      <c r="K898" s="147"/>
      <c r="L898" s="147"/>
      <c r="M898" s="147"/>
      <c r="N898" s="147"/>
      <c r="O898" s="158"/>
      <c r="P898" s="147"/>
      <c r="Q898" s="147"/>
      <c r="R898" s="147"/>
      <c r="S898" s="147"/>
      <c r="T898" s="147"/>
      <c r="U898" s="147"/>
      <c r="V898" s="147"/>
      <c r="W898" s="147"/>
      <c r="X898" s="147"/>
      <c r="Y898" s="147"/>
      <c r="Z898" s="147"/>
      <c r="AA898" s="147"/>
      <c r="AB898" s="147"/>
      <c r="AC898" s="147"/>
      <c r="AD898" s="147"/>
      <c r="AE898" s="147"/>
      <c r="AF898" s="147"/>
      <c r="AG898" s="147"/>
      <c r="AH898" s="147"/>
      <c r="AI898" s="147"/>
      <c r="AJ898" s="147"/>
      <c r="AK898" s="147"/>
      <c r="AL898" s="147"/>
      <c r="AM898" s="147"/>
      <c r="AN898" s="147"/>
      <c r="AO898" s="147"/>
      <c r="AP898" s="147"/>
      <c r="AQ898" s="147"/>
      <c r="AR898" s="147"/>
      <c r="AS898" s="147"/>
      <c r="AT898" s="147"/>
      <c r="AU898" s="147"/>
      <c r="AV898" s="147"/>
      <c r="AW898" s="147"/>
      <c r="AX898" s="147"/>
      <c r="AY898" s="147"/>
      <c r="AZ898" s="147"/>
      <c r="BA898" s="147"/>
      <c r="BB898" s="147"/>
      <c r="BC898" s="147"/>
      <c r="BD898" s="147"/>
      <c r="BE898" s="147"/>
      <c r="BF898" s="147"/>
      <c r="BG898" s="147"/>
      <c r="BH898" s="147"/>
      <c r="BI898" s="147"/>
      <c r="BJ898" s="147"/>
      <c r="BK898" s="147"/>
      <c r="BL898" s="147"/>
      <c r="BM898" s="147"/>
      <c r="BN898" s="147"/>
      <c r="BO898" s="147"/>
      <c r="BP898" s="147"/>
      <c r="BQ898" s="147"/>
      <c r="BR898" s="147"/>
      <c r="BS898" s="147"/>
      <c r="BT898" s="147"/>
      <c r="BU898" s="147"/>
      <c r="BV898" s="147"/>
      <c r="BW898" s="147"/>
      <c r="BX898" s="147"/>
      <c r="BY898" s="147"/>
      <c r="BZ898" s="147"/>
      <c r="CA898" s="147"/>
      <c r="CB898" s="147"/>
      <c r="CC898" s="147"/>
      <c r="CD898" s="147"/>
      <c r="CE898" s="147"/>
      <c r="CF898" s="147"/>
      <c r="CG898" s="147"/>
      <c r="CH898" s="147"/>
      <c r="CI898" s="147"/>
      <c r="CJ898" s="147"/>
      <c r="CK898" s="147"/>
    </row>
    <row r="899" spans="1:89">
      <c r="A899" s="147"/>
      <c r="B899" s="147"/>
      <c r="C899" s="147"/>
      <c r="D899" s="147"/>
      <c r="E899" s="147"/>
      <c r="F899" s="147"/>
      <c r="G899" s="147"/>
      <c r="H899" s="147"/>
      <c r="I899" s="147"/>
      <c r="J899" s="147"/>
      <c r="K899" s="147"/>
      <c r="L899" s="147"/>
      <c r="M899" s="147"/>
      <c r="N899" s="147"/>
      <c r="O899" s="158"/>
      <c r="P899" s="147"/>
      <c r="Q899" s="147"/>
      <c r="R899" s="147"/>
      <c r="S899" s="147"/>
      <c r="T899" s="147"/>
      <c r="U899" s="147"/>
      <c r="V899" s="147"/>
      <c r="W899" s="147"/>
      <c r="X899" s="147"/>
      <c r="Y899" s="147"/>
      <c r="Z899" s="147"/>
      <c r="AA899" s="147"/>
      <c r="AB899" s="147"/>
      <c r="AC899" s="147"/>
      <c r="AD899" s="147"/>
      <c r="AE899" s="147"/>
      <c r="AF899" s="147"/>
      <c r="AG899" s="147"/>
      <c r="AH899" s="147"/>
      <c r="AI899" s="147"/>
      <c r="AJ899" s="147"/>
      <c r="AK899" s="147"/>
      <c r="AL899" s="147"/>
      <c r="AM899" s="147"/>
      <c r="AN899" s="147"/>
      <c r="AO899" s="147"/>
      <c r="AP899" s="147"/>
      <c r="AQ899" s="147"/>
      <c r="AR899" s="147"/>
      <c r="AS899" s="147"/>
      <c r="AT899" s="147"/>
      <c r="AU899" s="147"/>
      <c r="AV899" s="147"/>
      <c r="AW899" s="147"/>
      <c r="AX899" s="147"/>
      <c r="AY899" s="147"/>
      <c r="AZ899" s="147"/>
      <c r="BA899" s="147"/>
      <c r="BB899" s="147"/>
      <c r="BC899" s="147"/>
      <c r="BD899" s="147"/>
      <c r="BE899" s="147"/>
      <c r="BF899" s="147"/>
      <c r="BG899" s="147"/>
      <c r="BH899" s="147"/>
      <c r="BI899" s="147"/>
      <c r="BJ899" s="147"/>
      <c r="BK899" s="147"/>
      <c r="BL899" s="147"/>
      <c r="BM899" s="147"/>
      <c r="BN899" s="147"/>
      <c r="BO899" s="147"/>
      <c r="BP899" s="147"/>
      <c r="BQ899" s="147"/>
      <c r="BR899" s="147"/>
      <c r="BS899" s="147"/>
      <c r="BT899" s="147"/>
      <c r="BU899" s="147"/>
      <c r="BV899" s="147"/>
      <c r="BW899" s="147"/>
      <c r="BX899" s="147"/>
      <c r="BY899" s="147"/>
      <c r="BZ899" s="147"/>
      <c r="CA899" s="147"/>
      <c r="CB899" s="147"/>
      <c r="CC899" s="147"/>
      <c r="CD899" s="147"/>
      <c r="CE899" s="147"/>
      <c r="CF899" s="147"/>
      <c r="CG899" s="147"/>
      <c r="CH899" s="147"/>
      <c r="CI899" s="147"/>
      <c r="CJ899" s="147"/>
      <c r="CK899" s="147"/>
    </row>
    <row r="900" spans="1:89">
      <c r="A900" s="147"/>
      <c r="B900" s="147"/>
      <c r="C900" s="147"/>
      <c r="D900" s="147"/>
      <c r="E900" s="147"/>
      <c r="F900" s="147"/>
      <c r="G900" s="147"/>
      <c r="H900" s="147"/>
      <c r="I900" s="147"/>
      <c r="J900" s="147"/>
      <c r="K900" s="147"/>
      <c r="L900" s="147"/>
      <c r="M900" s="147"/>
      <c r="N900" s="147"/>
      <c r="O900" s="158"/>
      <c r="P900" s="147"/>
      <c r="Q900" s="147"/>
      <c r="R900" s="147"/>
      <c r="S900" s="147"/>
      <c r="T900" s="147"/>
      <c r="U900" s="147"/>
      <c r="V900" s="147"/>
      <c r="W900" s="147"/>
      <c r="X900" s="147"/>
      <c r="Y900" s="147"/>
      <c r="Z900" s="147"/>
      <c r="AA900" s="147"/>
      <c r="AB900" s="147"/>
      <c r="AC900" s="147"/>
      <c r="AD900" s="147"/>
      <c r="AE900" s="147"/>
      <c r="AF900" s="147"/>
      <c r="AG900" s="147"/>
      <c r="AH900" s="147"/>
      <c r="AI900" s="147"/>
      <c r="AJ900" s="147"/>
      <c r="AK900" s="147"/>
      <c r="AL900" s="147"/>
      <c r="AM900" s="147"/>
      <c r="AN900" s="147"/>
      <c r="AO900" s="147"/>
      <c r="AP900" s="147"/>
      <c r="AQ900" s="147"/>
      <c r="AR900" s="147"/>
      <c r="AS900" s="147"/>
      <c r="AT900" s="147"/>
      <c r="AU900" s="147"/>
      <c r="AV900" s="147"/>
      <c r="AW900" s="147"/>
      <c r="AX900" s="147"/>
      <c r="AY900" s="147"/>
      <c r="AZ900" s="147"/>
      <c r="BA900" s="147"/>
      <c r="BB900" s="147"/>
      <c r="BC900" s="147"/>
      <c r="BD900" s="147"/>
      <c r="BE900" s="147"/>
      <c r="BF900" s="147"/>
      <c r="BG900" s="147"/>
      <c r="BH900" s="147"/>
      <c r="BI900" s="147"/>
      <c r="BJ900" s="147"/>
      <c r="BK900" s="147"/>
      <c r="BL900" s="147"/>
      <c r="BM900" s="147"/>
      <c r="BN900" s="147"/>
      <c r="BO900" s="147"/>
      <c r="BP900" s="147"/>
      <c r="BQ900" s="147"/>
      <c r="BR900" s="147"/>
      <c r="BS900" s="147"/>
      <c r="BT900" s="147"/>
      <c r="BU900" s="147"/>
      <c r="BV900" s="147"/>
      <c r="BW900" s="147"/>
      <c r="BX900" s="147"/>
      <c r="BY900" s="147"/>
      <c r="BZ900" s="147"/>
      <c r="CA900" s="147"/>
      <c r="CB900" s="147"/>
      <c r="CC900" s="147"/>
      <c r="CD900" s="147"/>
      <c r="CE900" s="147"/>
      <c r="CF900" s="147"/>
      <c r="CG900" s="147"/>
      <c r="CH900" s="147"/>
      <c r="CI900" s="147"/>
      <c r="CJ900" s="147"/>
      <c r="CK900" s="147"/>
    </row>
    <row r="901" spans="1:89">
      <c r="A901" s="147"/>
      <c r="B901" s="147"/>
      <c r="C901" s="147"/>
      <c r="D901" s="147"/>
      <c r="E901" s="147"/>
      <c r="F901" s="147"/>
      <c r="G901" s="147"/>
      <c r="H901" s="147"/>
      <c r="I901" s="147"/>
      <c r="J901" s="147"/>
      <c r="K901" s="147"/>
      <c r="L901" s="147"/>
      <c r="M901" s="147"/>
      <c r="N901" s="147"/>
      <c r="O901" s="158"/>
      <c r="P901" s="147"/>
      <c r="Q901" s="147"/>
      <c r="R901" s="147"/>
      <c r="S901" s="147"/>
      <c r="T901" s="147"/>
      <c r="U901" s="147"/>
      <c r="V901" s="147"/>
      <c r="W901" s="147"/>
      <c r="X901" s="147"/>
      <c r="Y901" s="147"/>
      <c r="Z901" s="147"/>
      <c r="AA901" s="147"/>
      <c r="AB901" s="147"/>
      <c r="AC901" s="147"/>
      <c r="AD901" s="147"/>
      <c r="AE901" s="147"/>
      <c r="AF901" s="147"/>
      <c r="AG901" s="147"/>
      <c r="AH901" s="147"/>
      <c r="AI901" s="147"/>
      <c r="AJ901" s="147"/>
      <c r="AK901" s="147"/>
      <c r="AL901" s="147"/>
      <c r="AM901" s="147"/>
      <c r="AN901" s="147"/>
      <c r="AO901" s="147"/>
      <c r="AP901" s="147"/>
      <c r="AQ901" s="147"/>
      <c r="AR901" s="147"/>
      <c r="AS901" s="147"/>
      <c r="AT901" s="147"/>
      <c r="AU901" s="147"/>
      <c r="AV901" s="147"/>
      <c r="AW901" s="147"/>
      <c r="AX901" s="147"/>
      <c r="AY901" s="147"/>
      <c r="AZ901" s="147"/>
      <c r="BA901" s="147"/>
      <c r="BB901" s="147"/>
      <c r="BC901" s="147"/>
      <c r="BD901" s="147"/>
      <c r="BE901" s="147"/>
      <c r="BF901" s="147"/>
      <c r="BG901" s="147"/>
      <c r="BH901" s="147"/>
      <c r="BI901" s="147"/>
      <c r="BJ901" s="147"/>
      <c r="BK901" s="147"/>
      <c r="BL901" s="147"/>
      <c r="BM901" s="147"/>
      <c r="BN901" s="147"/>
      <c r="BO901" s="147"/>
      <c r="BP901" s="147"/>
      <c r="BQ901" s="147"/>
      <c r="BR901" s="147"/>
      <c r="BS901" s="147"/>
      <c r="BT901" s="147"/>
      <c r="BU901" s="147"/>
      <c r="BV901" s="147"/>
      <c r="BW901" s="147"/>
      <c r="BX901" s="147"/>
      <c r="BY901" s="147"/>
      <c r="BZ901" s="147"/>
      <c r="CA901" s="147"/>
      <c r="CB901" s="147"/>
      <c r="CC901" s="147"/>
      <c r="CD901" s="147"/>
      <c r="CE901" s="147"/>
      <c r="CF901" s="147"/>
      <c r="CG901" s="147"/>
      <c r="CH901" s="147"/>
      <c r="CI901" s="147"/>
      <c r="CJ901" s="147"/>
      <c r="CK901" s="147"/>
    </row>
    <row r="902" spans="1:89">
      <c r="A902" s="147"/>
      <c r="B902" s="147"/>
      <c r="C902" s="147"/>
      <c r="D902" s="147"/>
      <c r="E902" s="147"/>
      <c r="F902" s="147"/>
      <c r="G902" s="147"/>
      <c r="H902" s="147"/>
      <c r="I902" s="147"/>
      <c r="J902" s="147"/>
      <c r="K902" s="147"/>
      <c r="L902" s="147"/>
      <c r="M902" s="147"/>
      <c r="N902" s="147"/>
      <c r="O902" s="158"/>
      <c r="P902" s="147"/>
      <c r="Q902" s="147"/>
      <c r="R902" s="147"/>
      <c r="S902" s="147"/>
      <c r="T902" s="147"/>
      <c r="U902" s="147"/>
      <c r="V902" s="147"/>
      <c r="W902" s="147"/>
      <c r="X902" s="147"/>
      <c r="Y902" s="147"/>
      <c r="Z902" s="147"/>
      <c r="AA902" s="147"/>
      <c r="AB902" s="147"/>
      <c r="AC902" s="147"/>
      <c r="AD902" s="147"/>
      <c r="AE902" s="147"/>
      <c r="AF902" s="147"/>
      <c r="AG902" s="147"/>
      <c r="AH902" s="147"/>
      <c r="AI902" s="147"/>
      <c r="AJ902" s="147"/>
      <c r="AK902" s="147"/>
      <c r="AL902" s="147"/>
      <c r="AM902" s="147"/>
      <c r="AN902" s="147"/>
      <c r="AO902" s="147"/>
      <c r="AP902" s="147"/>
      <c r="AQ902" s="147"/>
      <c r="AR902" s="147"/>
      <c r="AS902" s="147"/>
      <c r="AT902" s="147"/>
      <c r="AU902" s="147"/>
      <c r="AV902" s="147"/>
      <c r="AW902" s="147"/>
      <c r="AX902" s="147"/>
      <c r="AY902" s="147"/>
      <c r="AZ902" s="147"/>
      <c r="BA902" s="147"/>
      <c r="BB902" s="147"/>
      <c r="BC902" s="147"/>
      <c r="BD902" s="147"/>
      <c r="BE902" s="147"/>
      <c r="BF902" s="147"/>
      <c r="BG902" s="147"/>
      <c r="BH902" s="147"/>
      <c r="BI902" s="147"/>
      <c r="BJ902" s="147"/>
      <c r="BK902" s="147"/>
      <c r="BL902" s="147"/>
      <c r="BM902" s="147"/>
      <c r="BN902" s="147"/>
      <c r="BO902" s="147"/>
      <c r="BP902" s="147"/>
      <c r="BQ902" s="147"/>
      <c r="BR902" s="147"/>
      <c r="BS902" s="147"/>
      <c r="BT902" s="147"/>
      <c r="BU902" s="147"/>
      <c r="BV902" s="147"/>
      <c r="BW902" s="147"/>
      <c r="BX902" s="147"/>
      <c r="BY902" s="147"/>
      <c r="BZ902" s="147"/>
      <c r="CA902" s="147"/>
      <c r="CB902" s="147"/>
      <c r="CC902" s="147"/>
      <c r="CD902" s="147"/>
      <c r="CE902" s="147"/>
      <c r="CF902" s="147"/>
      <c r="CG902" s="147"/>
      <c r="CH902" s="147"/>
      <c r="CI902" s="147"/>
      <c r="CJ902" s="147"/>
      <c r="CK902" s="147"/>
    </row>
    <row r="903" spans="1:89">
      <c r="A903" s="147"/>
      <c r="B903" s="147"/>
      <c r="C903" s="147"/>
      <c r="D903" s="147"/>
      <c r="E903" s="147"/>
      <c r="F903" s="147"/>
      <c r="G903" s="147"/>
      <c r="H903" s="147"/>
      <c r="I903" s="147"/>
      <c r="J903" s="147"/>
      <c r="K903" s="147"/>
      <c r="L903" s="147"/>
      <c r="M903" s="147"/>
      <c r="N903" s="147"/>
      <c r="O903" s="158"/>
      <c r="P903" s="147"/>
      <c r="Q903" s="147"/>
      <c r="R903" s="147"/>
      <c r="S903" s="147"/>
      <c r="T903" s="147"/>
      <c r="U903" s="147"/>
      <c r="V903" s="147"/>
      <c r="W903" s="147"/>
      <c r="X903" s="147"/>
      <c r="Y903" s="147"/>
      <c r="Z903" s="147"/>
      <c r="AA903" s="147"/>
      <c r="AB903" s="147"/>
      <c r="AC903" s="147"/>
      <c r="AD903" s="147"/>
      <c r="AE903" s="147"/>
      <c r="AF903" s="147"/>
      <c r="AG903" s="147"/>
      <c r="AH903" s="147"/>
      <c r="AI903" s="147"/>
      <c r="AJ903" s="147"/>
      <c r="AK903" s="147"/>
      <c r="AL903" s="147"/>
      <c r="AM903" s="147"/>
      <c r="AN903" s="147"/>
      <c r="AO903" s="147"/>
      <c r="AP903" s="147"/>
      <c r="AQ903" s="147"/>
      <c r="AR903" s="147"/>
      <c r="AS903" s="147"/>
      <c r="AT903" s="147"/>
      <c r="AU903" s="147"/>
      <c r="AV903" s="147"/>
      <c r="AW903" s="147"/>
      <c r="AX903" s="147"/>
      <c r="AY903" s="147"/>
      <c r="AZ903" s="147"/>
      <c r="BA903" s="147"/>
      <c r="BB903" s="147"/>
      <c r="BC903" s="147"/>
      <c r="BD903" s="147"/>
      <c r="BE903" s="147"/>
      <c r="BF903" s="147"/>
      <c r="BG903" s="147"/>
      <c r="BH903" s="147"/>
      <c r="BI903" s="147"/>
      <c r="BJ903" s="147"/>
      <c r="BK903" s="147"/>
      <c r="BL903" s="147"/>
      <c r="BM903" s="147"/>
      <c r="BN903" s="147"/>
      <c r="BO903" s="147"/>
      <c r="BP903" s="147"/>
      <c r="BQ903" s="147"/>
      <c r="BR903" s="147"/>
      <c r="BS903" s="147"/>
      <c r="BT903" s="147"/>
      <c r="BU903" s="147"/>
      <c r="BV903" s="147"/>
      <c r="BW903" s="147"/>
      <c r="BX903" s="147"/>
      <c r="BY903" s="147"/>
      <c r="BZ903" s="147"/>
      <c r="CA903" s="147"/>
      <c r="CB903" s="147"/>
      <c r="CC903" s="147"/>
      <c r="CD903" s="147"/>
      <c r="CE903" s="147"/>
      <c r="CF903" s="147"/>
      <c r="CG903" s="147"/>
      <c r="CH903" s="147"/>
      <c r="CI903" s="147"/>
      <c r="CJ903" s="147"/>
      <c r="CK903" s="147"/>
    </row>
    <row r="904" spans="1:89">
      <c r="A904" s="147"/>
      <c r="B904" s="147"/>
      <c r="C904" s="147"/>
      <c r="D904" s="147"/>
      <c r="E904" s="147"/>
      <c r="F904" s="147"/>
      <c r="G904" s="147"/>
      <c r="H904" s="147"/>
      <c r="I904" s="147"/>
      <c r="J904" s="147"/>
      <c r="K904" s="147"/>
      <c r="L904" s="147"/>
      <c r="M904" s="147"/>
      <c r="N904" s="147"/>
      <c r="O904" s="158"/>
      <c r="P904" s="147"/>
      <c r="Q904" s="147"/>
      <c r="R904" s="147"/>
      <c r="S904" s="147"/>
      <c r="T904" s="147"/>
      <c r="U904" s="147"/>
      <c r="V904" s="147"/>
      <c r="W904" s="147"/>
      <c r="X904" s="147"/>
      <c r="Y904" s="147"/>
      <c r="Z904" s="147"/>
      <c r="AA904" s="147"/>
      <c r="AB904" s="147"/>
      <c r="AC904" s="147"/>
      <c r="AD904" s="147"/>
      <c r="AE904" s="147"/>
      <c r="AF904" s="147"/>
      <c r="AG904" s="147"/>
      <c r="AH904" s="147"/>
      <c r="AI904" s="147"/>
      <c r="AJ904" s="147"/>
      <c r="AK904" s="147"/>
      <c r="AL904" s="147"/>
      <c r="AM904" s="147"/>
      <c r="AN904" s="147"/>
      <c r="AO904" s="147"/>
      <c r="AP904" s="147"/>
      <c r="AQ904" s="147"/>
      <c r="AR904" s="147"/>
      <c r="AS904" s="147"/>
      <c r="AT904" s="147"/>
      <c r="AU904" s="147"/>
      <c r="AV904" s="147"/>
      <c r="AW904" s="147"/>
      <c r="AX904" s="147"/>
      <c r="AY904" s="147"/>
      <c r="AZ904" s="147"/>
      <c r="BA904" s="147"/>
      <c r="BB904" s="147"/>
      <c r="BC904" s="147"/>
      <c r="BD904" s="147"/>
      <c r="BE904" s="147"/>
      <c r="BF904" s="147"/>
      <c r="BG904" s="147"/>
      <c r="BH904" s="147"/>
      <c r="BI904" s="147"/>
      <c r="BJ904" s="147"/>
      <c r="BK904" s="147"/>
      <c r="BL904" s="147"/>
      <c r="BM904" s="147"/>
      <c r="BN904" s="147"/>
      <c r="BO904" s="147"/>
      <c r="BP904" s="147"/>
      <c r="BQ904" s="147"/>
      <c r="BR904" s="147"/>
      <c r="BS904" s="147"/>
      <c r="BT904" s="147"/>
      <c r="BU904" s="147"/>
      <c r="BV904" s="147"/>
      <c r="BW904" s="147"/>
      <c r="BX904" s="147"/>
      <c r="BY904" s="147"/>
      <c r="BZ904" s="147"/>
      <c r="CA904" s="147"/>
      <c r="CB904" s="147"/>
      <c r="CC904" s="147"/>
      <c r="CD904" s="147"/>
      <c r="CE904" s="147"/>
      <c r="CF904" s="147"/>
      <c r="CG904" s="147"/>
      <c r="CH904" s="147"/>
      <c r="CI904" s="147"/>
      <c r="CJ904" s="147"/>
      <c r="CK904" s="147"/>
    </row>
    <row r="905" spans="1:89">
      <c r="A905" s="147"/>
      <c r="B905" s="147"/>
      <c r="C905" s="147"/>
      <c r="D905" s="147"/>
      <c r="E905" s="147"/>
      <c r="F905" s="147"/>
      <c r="G905" s="147"/>
      <c r="H905" s="147"/>
      <c r="I905" s="147"/>
      <c r="J905" s="147"/>
      <c r="K905" s="147"/>
      <c r="L905" s="147"/>
      <c r="M905" s="147"/>
      <c r="N905" s="147"/>
      <c r="O905" s="158"/>
      <c r="P905" s="147"/>
      <c r="Q905" s="147"/>
      <c r="R905" s="147"/>
      <c r="S905" s="147"/>
      <c r="T905" s="147"/>
      <c r="U905" s="147"/>
      <c r="V905" s="147"/>
      <c r="W905" s="147"/>
      <c r="X905" s="147"/>
      <c r="Y905" s="147"/>
      <c r="Z905" s="147"/>
      <c r="AA905" s="147"/>
      <c r="AB905" s="147"/>
      <c r="AC905" s="147"/>
      <c r="AD905" s="147"/>
      <c r="AE905" s="147"/>
      <c r="AF905" s="147"/>
      <c r="AG905" s="147"/>
      <c r="AH905" s="147"/>
      <c r="AI905" s="147"/>
      <c r="AJ905" s="147"/>
      <c r="AK905" s="147"/>
      <c r="AL905" s="147"/>
      <c r="AM905" s="147"/>
      <c r="AN905" s="147"/>
      <c r="AO905" s="147"/>
      <c r="AP905" s="147"/>
      <c r="AQ905" s="147"/>
      <c r="AR905" s="147"/>
      <c r="AS905" s="147"/>
      <c r="AT905" s="147"/>
      <c r="AU905" s="147"/>
      <c r="AV905" s="147"/>
      <c r="AW905" s="147"/>
      <c r="AX905" s="147"/>
      <c r="AY905" s="147"/>
      <c r="AZ905" s="147"/>
      <c r="BA905" s="147"/>
      <c r="BB905" s="147"/>
      <c r="BC905" s="147"/>
      <c r="BD905" s="147"/>
      <c r="BE905" s="147"/>
      <c r="BF905" s="147"/>
      <c r="BG905" s="147"/>
      <c r="BH905" s="147"/>
      <c r="BI905" s="147"/>
      <c r="BJ905" s="147"/>
      <c r="BK905" s="147"/>
      <c r="BL905" s="147"/>
      <c r="BM905" s="147"/>
      <c r="BN905" s="147"/>
      <c r="BO905" s="147"/>
      <c r="BP905" s="147"/>
      <c r="BQ905" s="147"/>
      <c r="BR905" s="147"/>
      <c r="BS905" s="147"/>
      <c r="BT905" s="147"/>
      <c r="BU905" s="147"/>
      <c r="BV905" s="147"/>
      <c r="BW905" s="147"/>
      <c r="BX905" s="147"/>
      <c r="BY905" s="147"/>
      <c r="BZ905" s="147"/>
      <c r="CA905" s="147"/>
      <c r="CB905" s="147"/>
      <c r="CC905" s="147"/>
      <c r="CD905" s="147"/>
      <c r="CE905" s="147"/>
      <c r="CF905" s="147"/>
      <c r="CG905" s="147"/>
      <c r="CH905" s="147"/>
      <c r="CI905" s="147"/>
      <c r="CJ905" s="147"/>
      <c r="CK905" s="147"/>
    </row>
    <row r="906" spans="1:89">
      <c r="A906" s="147"/>
      <c r="B906" s="147"/>
      <c r="C906" s="147"/>
      <c r="D906" s="147"/>
      <c r="E906" s="147"/>
      <c r="F906" s="147"/>
      <c r="G906" s="147"/>
      <c r="H906" s="147"/>
      <c r="I906" s="147"/>
      <c r="J906" s="147"/>
      <c r="K906" s="147"/>
      <c r="L906" s="147"/>
      <c r="M906" s="147"/>
      <c r="N906" s="147"/>
      <c r="O906" s="158"/>
      <c r="P906" s="147"/>
      <c r="Q906" s="147"/>
      <c r="R906" s="147"/>
      <c r="S906" s="147"/>
      <c r="T906" s="147"/>
      <c r="U906" s="147"/>
      <c r="V906" s="147"/>
      <c r="W906" s="147"/>
      <c r="X906" s="147"/>
      <c r="Y906" s="147"/>
      <c r="Z906" s="147"/>
      <c r="AA906" s="147"/>
      <c r="AB906" s="147"/>
      <c r="AC906" s="147"/>
      <c r="AD906" s="147"/>
      <c r="AE906" s="147"/>
      <c r="AF906" s="147"/>
      <c r="AG906" s="147"/>
      <c r="AH906" s="147"/>
      <c r="AI906" s="147"/>
      <c r="AJ906" s="147"/>
      <c r="AK906" s="147"/>
      <c r="AL906" s="147"/>
      <c r="AM906" s="147"/>
      <c r="AN906" s="147"/>
      <c r="AO906" s="147"/>
      <c r="AP906" s="147"/>
      <c r="AQ906" s="147"/>
      <c r="AR906" s="147"/>
      <c r="AS906" s="147"/>
      <c r="AT906" s="147"/>
      <c r="AU906" s="147"/>
      <c r="AV906" s="147"/>
      <c r="AW906" s="147"/>
      <c r="AX906" s="147"/>
      <c r="AY906" s="147"/>
      <c r="AZ906" s="147"/>
      <c r="BA906" s="147"/>
      <c r="BB906" s="147"/>
      <c r="BC906" s="147"/>
      <c r="BD906" s="147"/>
      <c r="BE906" s="147"/>
      <c r="BF906" s="147"/>
      <c r="BG906" s="147"/>
      <c r="BH906" s="147"/>
      <c r="BI906" s="147"/>
      <c r="BJ906" s="147"/>
      <c r="BK906" s="147"/>
      <c r="BL906" s="147"/>
      <c r="BM906" s="147"/>
      <c r="BN906" s="147"/>
      <c r="BO906" s="147"/>
      <c r="BP906" s="147"/>
      <c r="BQ906" s="147"/>
      <c r="BR906" s="147"/>
      <c r="BS906" s="147"/>
      <c r="BT906" s="147"/>
      <c r="BU906" s="147"/>
      <c r="BV906" s="147"/>
      <c r="BW906" s="147"/>
      <c r="BX906" s="147"/>
      <c r="BY906" s="147"/>
      <c r="BZ906" s="147"/>
      <c r="CA906" s="147"/>
      <c r="CB906" s="147"/>
      <c r="CC906" s="147"/>
      <c r="CD906" s="147"/>
      <c r="CE906" s="147"/>
      <c r="CF906" s="147"/>
      <c r="CG906" s="147"/>
      <c r="CH906" s="147"/>
      <c r="CI906" s="147"/>
      <c r="CJ906" s="147"/>
      <c r="CK906" s="147"/>
    </row>
    <row r="907" spans="1:89">
      <c r="A907" s="147"/>
      <c r="B907" s="147"/>
      <c r="C907" s="147"/>
      <c r="D907" s="147"/>
      <c r="E907" s="147"/>
      <c r="F907" s="147"/>
      <c r="G907" s="147"/>
      <c r="H907" s="147"/>
      <c r="I907" s="147"/>
      <c r="J907" s="147"/>
      <c r="K907" s="147"/>
      <c r="L907" s="147"/>
      <c r="M907" s="147"/>
      <c r="N907" s="147"/>
      <c r="O907" s="158"/>
      <c r="P907" s="147"/>
      <c r="Q907" s="147"/>
      <c r="R907" s="147"/>
      <c r="S907" s="147"/>
      <c r="T907" s="147"/>
      <c r="U907" s="147"/>
      <c r="V907" s="147"/>
      <c r="W907" s="147"/>
      <c r="X907" s="147"/>
      <c r="Y907" s="147"/>
      <c r="Z907" s="147"/>
      <c r="AA907" s="147"/>
      <c r="AB907" s="147"/>
      <c r="AC907" s="147"/>
      <c r="AD907" s="147"/>
      <c r="AE907" s="147"/>
      <c r="AF907" s="147"/>
      <c r="AG907" s="147"/>
      <c r="AH907" s="147"/>
      <c r="AI907" s="147"/>
      <c r="AJ907" s="147"/>
      <c r="AK907" s="147"/>
      <c r="AL907" s="147"/>
      <c r="AM907" s="147"/>
      <c r="AN907" s="147"/>
      <c r="AO907" s="147"/>
      <c r="AP907" s="147"/>
      <c r="AQ907" s="147"/>
      <c r="AR907" s="147"/>
      <c r="AS907" s="147"/>
      <c r="AT907" s="147"/>
      <c r="AU907" s="147"/>
      <c r="AV907" s="147"/>
      <c r="AW907" s="147"/>
      <c r="AX907" s="147"/>
      <c r="AY907" s="147"/>
      <c r="AZ907" s="147"/>
      <c r="BA907" s="147"/>
      <c r="BB907" s="147"/>
      <c r="BC907" s="147"/>
      <c r="BD907" s="147"/>
      <c r="BE907" s="147"/>
      <c r="BF907" s="147"/>
      <c r="BG907" s="147"/>
      <c r="BH907" s="147"/>
      <c r="BI907" s="147"/>
      <c r="BJ907" s="147"/>
      <c r="BK907" s="147"/>
      <c r="BL907" s="147"/>
      <c r="BM907" s="147"/>
      <c r="BN907" s="147"/>
      <c r="BO907" s="147"/>
      <c r="BP907" s="147"/>
      <c r="BQ907" s="147"/>
      <c r="BR907" s="147"/>
      <c r="BS907" s="147"/>
      <c r="BT907" s="147"/>
      <c r="BU907" s="147"/>
      <c r="BV907" s="147"/>
      <c r="BW907" s="147"/>
      <c r="BX907" s="147"/>
      <c r="BY907" s="147"/>
      <c r="BZ907" s="147"/>
      <c r="CA907" s="147"/>
      <c r="CB907" s="147"/>
      <c r="CC907" s="147"/>
      <c r="CD907" s="147"/>
      <c r="CE907" s="147"/>
      <c r="CF907" s="147"/>
      <c r="CG907" s="147"/>
      <c r="CH907" s="147"/>
      <c r="CI907" s="147"/>
      <c r="CJ907" s="147"/>
      <c r="CK907" s="147"/>
    </row>
    <row r="908" spans="1:89">
      <c r="A908" s="147"/>
      <c r="B908" s="147"/>
      <c r="C908" s="147"/>
      <c r="D908" s="147"/>
      <c r="E908" s="147"/>
      <c r="F908" s="147"/>
      <c r="G908" s="147"/>
      <c r="H908" s="147"/>
      <c r="I908" s="147"/>
      <c r="J908" s="147"/>
      <c r="K908" s="147"/>
      <c r="L908" s="147"/>
      <c r="M908" s="147"/>
      <c r="N908" s="147"/>
      <c r="O908" s="158"/>
      <c r="P908" s="147"/>
      <c r="Q908" s="147"/>
      <c r="R908" s="147"/>
      <c r="S908" s="147"/>
      <c r="T908" s="147"/>
      <c r="U908" s="147"/>
      <c r="V908" s="147"/>
      <c r="W908" s="147"/>
      <c r="X908" s="147"/>
      <c r="Y908" s="147"/>
      <c r="Z908" s="147"/>
      <c r="AA908" s="147"/>
      <c r="AB908" s="147"/>
      <c r="AC908" s="147"/>
      <c r="AD908" s="147"/>
      <c r="AE908" s="147"/>
      <c r="AF908" s="147"/>
      <c r="AG908" s="147"/>
      <c r="AH908" s="147"/>
      <c r="AI908" s="147"/>
      <c r="AJ908" s="147"/>
      <c r="AK908" s="147"/>
      <c r="AL908" s="147"/>
      <c r="AM908" s="147"/>
      <c r="AN908" s="147"/>
      <c r="AO908" s="147"/>
      <c r="AP908" s="147"/>
      <c r="AQ908" s="147"/>
      <c r="AR908" s="147"/>
      <c r="AS908" s="147"/>
      <c r="AT908" s="147"/>
      <c r="AU908" s="147"/>
      <c r="AV908" s="147"/>
      <c r="AW908" s="147"/>
      <c r="AX908" s="147"/>
      <c r="AY908" s="147"/>
      <c r="AZ908" s="147"/>
      <c r="BA908" s="147"/>
      <c r="BB908" s="147"/>
      <c r="BC908" s="147"/>
      <c r="BD908" s="147"/>
      <c r="BE908" s="147"/>
      <c r="BF908" s="147"/>
      <c r="BG908" s="147"/>
      <c r="BH908" s="147"/>
      <c r="BI908" s="147"/>
      <c r="BJ908" s="147"/>
      <c r="BK908" s="147"/>
      <c r="BL908" s="147"/>
      <c r="BM908" s="147"/>
      <c r="BN908" s="147"/>
      <c r="BO908" s="147"/>
      <c r="BP908" s="147"/>
      <c r="BQ908" s="147"/>
      <c r="BR908" s="147"/>
      <c r="BS908" s="147"/>
      <c r="BT908" s="147"/>
      <c r="BU908" s="147"/>
      <c r="BV908" s="147"/>
      <c r="BW908" s="147"/>
      <c r="BX908" s="147"/>
      <c r="BY908" s="147"/>
      <c r="BZ908" s="147"/>
      <c r="CA908" s="147"/>
      <c r="CB908" s="147"/>
      <c r="CC908" s="147"/>
      <c r="CD908" s="147"/>
      <c r="CE908" s="147"/>
      <c r="CF908" s="147"/>
      <c r="CG908" s="147"/>
      <c r="CH908" s="147"/>
      <c r="CI908" s="147"/>
      <c r="CJ908" s="147"/>
      <c r="CK908" s="147"/>
    </row>
    <row r="909" spans="1:89">
      <c r="A909" s="147"/>
      <c r="B909" s="147"/>
      <c r="C909" s="147"/>
      <c r="D909" s="147"/>
      <c r="E909" s="147"/>
      <c r="F909" s="147"/>
      <c r="G909" s="147"/>
      <c r="H909" s="147"/>
      <c r="I909" s="147"/>
      <c r="J909" s="147"/>
      <c r="K909" s="147"/>
      <c r="L909" s="147"/>
      <c r="M909" s="147"/>
      <c r="N909" s="147"/>
      <c r="O909" s="158"/>
      <c r="P909" s="147"/>
      <c r="Q909" s="147"/>
      <c r="R909" s="147"/>
      <c r="S909" s="147"/>
      <c r="T909" s="147"/>
      <c r="U909" s="147"/>
      <c r="V909" s="147"/>
      <c r="W909" s="147"/>
      <c r="X909" s="147"/>
      <c r="Y909" s="147"/>
      <c r="Z909" s="147"/>
      <c r="AA909" s="147"/>
      <c r="AB909" s="147"/>
      <c r="AC909" s="147"/>
      <c r="AD909" s="147"/>
      <c r="AE909" s="147"/>
      <c r="AF909" s="147"/>
      <c r="AG909" s="147"/>
      <c r="AH909" s="147"/>
      <c r="AI909" s="147"/>
      <c r="AJ909" s="147"/>
      <c r="AK909" s="147"/>
      <c r="AL909" s="147"/>
      <c r="AM909" s="147"/>
      <c r="AN909" s="147"/>
      <c r="AO909" s="147"/>
      <c r="AP909" s="147"/>
      <c r="AQ909" s="147"/>
      <c r="AR909" s="147"/>
      <c r="AS909" s="147"/>
      <c r="AT909" s="147"/>
      <c r="AU909" s="147"/>
      <c r="AV909" s="147"/>
      <c r="AW909" s="147"/>
      <c r="AX909" s="147"/>
      <c r="AY909" s="147"/>
      <c r="AZ909" s="147"/>
      <c r="BA909" s="147"/>
      <c r="BB909" s="147"/>
      <c r="BC909" s="147"/>
      <c r="BD909" s="147"/>
      <c r="BE909" s="147"/>
      <c r="BF909" s="147"/>
      <c r="BG909" s="147"/>
      <c r="BH909" s="147"/>
      <c r="BI909" s="147"/>
      <c r="BJ909" s="147"/>
      <c r="BK909" s="147"/>
      <c r="BL909" s="147"/>
      <c r="BM909" s="147"/>
      <c r="BN909" s="147"/>
      <c r="BO909" s="147"/>
      <c r="BP909" s="147"/>
      <c r="BQ909" s="147"/>
      <c r="BR909" s="147"/>
      <c r="BS909" s="147"/>
      <c r="BT909" s="147"/>
      <c r="BU909" s="147"/>
      <c r="BV909" s="147"/>
      <c r="BW909" s="147"/>
      <c r="BX909" s="147"/>
      <c r="BY909" s="147"/>
      <c r="BZ909" s="147"/>
      <c r="CA909" s="147"/>
      <c r="CB909" s="147"/>
      <c r="CC909" s="147"/>
      <c r="CD909" s="147"/>
      <c r="CE909" s="147"/>
      <c r="CF909" s="147"/>
      <c r="CG909" s="147"/>
      <c r="CH909" s="147"/>
      <c r="CI909" s="147"/>
      <c r="CJ909" s="147"/>
      <c r="CK909" s="147"/>
    </row>
    <row r="910" spans="1:89">
      <c r="A910" s="147"/>
      <c r="B910" s="147"/>
      <c r="C910" s="147"/>
      <c r="D910" s="147"/>
      <c r="E910" s="147"/>
      <c r="F910" s="147"/>
      <c r="G910" s="147"/>
      <c r="H910" s="147"/>
      <c r="I910" s="147"/>
      <c r="J910" s="147"/>
      <c r="K910" s="147"/>
      <c r="L910" s="147"/>
      <c r="M910" s="147"/>
      <c r="N910" s="147"/>
      <c r="O910" s="158"/>
      <c r="P910" s="147"/>
      <c r="Q910" s="147"/>
      <c r="R910" s="147"/>
      <c r="S910" s="147"/>
      <c r="T910" s="147"/>
      <c r="U910" s="147"/>
      <c r="V910" s="147"/>
      <c r="W910" s="147"/>
      <c r="X910" s="147"/>
      <c r="Y910" s="147"/>
      <c r="Z910" s="147"/>
      <c r="AA910" s="147"/>
      <c r="AB910" s="147"/>
      <c r="AC910" s="147"/>
      <c r="AD910" s="147"/>
      <c r="AE910" s="147"/>
      <c r="AF910" s="147"/>
      <c r="AG910" s="147"/>
      <c r="AH910" s="147"/>
      <c r="AI910" s="147"/>
      <c r="AJ910" s="147"/>
      <c r="AK910" s="147"/>
      <c r="AL910" s="147"/>
      <c r="AM910" s="147"/>
      <c r="AN910" s="147"/>
      <c r="AO910" s="147"/>
      <c r="AP910" s="147"/>
      <c r="AQ910" s="147"/>
      <c r="AR910" s="147"/>
      <c r="AS910" s="147"/>
      <c r="AT910" s="147"/>
      <c r="AU910" s="147"/>
      <c r="AV910" s="147"/>
      <c r="AW910" s="147"/>
      <c r="AX910" s="147"/>
      <c r="AY910" s="147"/>
      <c r="AZ910" s="147"/>
      <c r="BA910" s="147"/>
      <c r="BB910" s="147"/>
      <c r="BC910" s="147"/>
      <c r="BD910" s="147"/>
      <c r="BE910" s="147"/>
      <c r="BF910" s="147"/>
      <c r="BG910" s="147"/>
      <c r="BH910" s="147"/>
      <c r="BI910" s="147"/>
      <c r="BJ910" s="147"/>
      <c r="BK910" s="147"/>
      <c r="BL910" s="147"/>
      <c r="BM910" s="147"/>
      <c r="BN910" s="147"/>
      <c r="BO910" s="147"/>
      <c r="BP910" s="147"/>
      <c r="BQ910" s="147"/>
      <c r="BR910" s="147"/>
      <c r="BS910" s="147"/>
      <c r="BT910" s="147"/>
      <c r="BU910" s="147"/>
      <c r="BV910" s="147"/>
      <c r="BW910" s="147"/>
      <c r="BX910" s="147"/>
      <c r="BY910" s="147"/>
      <c r="BZ910" s="147"/>
      <c r="CA910" s="147"/>
      <c r="CB910" s="147"/>
      <c r="CC910" s="147"/>
      <c r="CD910" s="147"/>
      <c r="CE910" s="147"/>
      <c r="CF910" s="147"/>
      <c r="CG910" s="147"/>
      <c r="CH910" s="147"/>
      <c r="CI910" s="147"/>
      <c r="CJ910" s="147"/>
      <c r="CK910" s="147"/>
    </row>
    <row r="911" spans="1:89">
      <c r="A911" s="147"/>
      <c r="B911" s="147"/>
      <c r="C911" s="147"/>
      <c r="D911" s="147"/>
      <c r="E911" s="147"/>
      <c r="F911" s="147"/>
      <c r="G911" s="147"/>
      <c r="H911" s="147"/>
      <c r="I911" s="147"/>
      <c r="J911" s="147"/>
      <c r="K911" s="147"/>
      <c r="L911" s="147"/>
      <c r="M911" s="147"/>
      <c r="N911" s="147"/>
      <c r="O911" s="158"/>
      <c r="P911" s="147"/>
      <c r="Q911" s="147"/>
      <c r="R911" s="147"/>
      <c r="S911" s="147"/>
      <c r="T911" s="147"/>
      <c r="U911" s="147"/>
      <c r="V911" s="147"/>
      <c r="W911" s="147"/>
      <c r="X911" s="147"/>
      <c r="Y911" s="147"/>
      <c r="Z911" s="147"/>
      <c r="AA911" s="147"/>
      <c r="AB911" s="147"/>
      <c r="AC911" s="147"/>
      <c r="AD911" s="147"/>
      <c r="AE911" s="147"/>
      <c r="AF911" s="147"/>
      <c r="AG911" s="147"/>
      <c r="AH911" s="147"/>
      <c r="AI911" s="147"/>
      <c r="AJ911" s="147"/>
      <c r="AK911" s="147"/>
      <c r="AL911" s="147"/>
      <c r="AM911" s="147"/>
      <c r="AN911" s="147"/>
      <c r="AO911" s="147"/>
      <c r="AP911" s="147"/>
      <c r="AQ911" s="147"/>
      <c r="AR911" s="147"/>
      <c r="AS911" s="147"/>
      <c r="AT911" s="147"/>
      <c r="AU911" s="147"/>
      <c r="AV911" s="147"/>
      <c r="AW911" s="147"/>
      <c r="AX911" s="147"/>
      <c r="AY911" s="147"/>
      <c r="AZ911" s="147"/>
      <c r="BA911" s="147"/>
      <c r="BB911" s="147"/>
      <c r="BC911" s="147"/>
      <c r="BD911" s="147"/>
      <c r="BE911" s="147"/>
      <c r="BF911" s="147"/>
      <c r="BG911" s="147"/>
      <c r="BH911" s="147"/>
      <c r="BI911" s="147"/>
      <c r="BJ911" s="147"/>
      <c r="BK911" s="147"/>
      <c r="BL911" s="147"/>
      <c r="BM911" s="147"/>
      <c r="BN911" s="147"/>
      <c r="BO911" s="147"/>
      <c r="BP911" s="147"/>
      <c r="BQ911" s="147"/>
      <c r="BR911" s="147"/>
      <c r="BS911" s="147"/>
      <c r="BT911" s="147"/>
      <c r="BU911" s="147"/>
      <c r="BV911" s="147"/>
      <c r="BW911" s="147"/>
      <c r="BX911" s="147"/>
      <c r="BY911" s="147"/>
      <c r="BZ911" s="147"/>
      <c r="CA911" s="147"/>
      <c r="CB911" s="147"/>
      <c r="CC911" s="147"/>
      <c r="CD911" s="147"/>
      <c r="CE911" s="147"/>
      <c r="CF911" s="147"/>
      <c r="CG911" s="147"/>
      <c r="CH911" s="147"/>
      <c r="CI911" s="147"/>
      <c r="CJ911" s="147"/>
      <c r="CK911" s="147"/>
    </row>
    <row r="912" spans="1:89">
      <c r="A912" s="147"/>
      <c r="B912" s="147"/>
      <c r="C912" s="147"/>
      <c r="D912" s="147"/>
      <c r="E912" s="147"/>
      <c r="F912" s="147"/>
      <c r="G912" s="147"/>
      <c r="H912" s="147"/>
      <c r="I912" s="147"/>
      <c r="J912" s="147"/>
      <c r="K912" s="147"/>
      <c r="L912" s="147"/>
      <c r="M912" s="147"/>
      <c r="N912" s="147"/>
      <c r="O912" s="158"/>
      <c r="P912" s="147"/>
      <c r="Q912" s="147"/>
      <c r="R912" s="147"/>
      <c r="S912" s="147"/>
      <c r="T912" s="147"/>
      <c r="U912" s="147"/>
      <c r="V912" s="147"/>
      <c r="W912" s="147"/>
      <c r="X912" s="147"/>
      <c r="Y912" s="147"/>
      <c r="Z912" s="147"/>
      <c r="AA912" s="147"/>
      <c r="AB912" s="147"/>
      <c r="AC912" s="147"/>
      <c r="AD912" s="147"/>
      <c r="AE912" s="147"/>
      <c r="AF912" s="147"/>
      <c r="AG912" s="147"/>
      <c r="AH912" s="147"/>
      <c r="AI912" s="147"/>
      <c r="AJ912" s="147"/>
      <c r="AK912" s="147"/>
      <c r="AL912" s="147"/>
      <c r="AM912" s="147"/>
      <c r="AN912" s="147"/>
      <c r="AO912" s="147"/>
      <c r="AP912" s="147"/>
      <c r="AQ912" s="147"/>
      <c r="AR912" s="147"/>
      <c r="AS912" s="147"/>
      <c r="AT912" s="147"/>
      <c r="AU912" s="147"/>
      <c r="AV912" s="147"/>
      <c r="AW912" s="147"/>
      <c r="AX912" s="147"/>
      <c r="AY912" s="147"/>
      <c r="AZ912" s="147"/>
      <c r="BA912" s="147"/>
      <c r="BB912" s="147"/>
      <c r="BC912" s="147"/>
      <c r="BD912" s="147"/>
      <c r="BE912" s="147"/>
      <c r="BF912" s="147"/>
      <c r="BG912" s="147"/>
      <c r="BH912" s="147"/>
      <c r="BI912" s="147"/>
      <c r="BJ912" s="147"/>
      <c r="BK912" s="147"/>
      <c r="BL912" s="147"/>
      <c r="BM912" s="147"/>
      <c r="BN912" s="147"/>
      <c r="BO912" s="147"/>
      <c r="BP912" s="147"/>
      <c r="BQ912" s="147"/>
      <c r="BR912" s="147"/>
      <c r="BS912" s="147"/>
      <c r="BT912" s="147"/>
      <c r="BU912" s="147"/>
      <c r="BV912" s="147"/>
      <c r="BW912" s="147"/>
      <c r="BX912" s="147"/>
      <c r="BY912" s="147"/>
      <c r="BZ912" s="147"/>
      <c r="CA912" s="147"/>
      <c r="CB912" s="147"/>
      <c r="CC912" s="147"/>
      <c r="CD912" s="147"/>
      <c r="CE912" s="147"/>
      <c r="CF912" s="147"/>
      <c r="CG912" s="147"/>
      <c r="CH912" s="147"/>
      <c r="CI912" s="147"/>
      <c r="CJ912" s="147"/>
      <c r="CK912" s="147"/>
    </row>
    <row r="913" spans="1:89">
      <c r="A913" s="147"/>
      <c r="B913" s="147"/>
      <c r="C913" s="147"/>
      <c r="D913" s="147"/>
      <c r="E913" s="147"/>
      <c r="F913" s="147"/>
      <c r="G913" s="147"/>
      <c r="H913" s="147"/>
      <c r="I913" s="147"/>
      <c r="J913" s="147"/>
      <c r="K913" s="147"/>
      <c r="L913" s="147"/>
      <c r="M913" s="147"/>
      <c r="N913" s="147"/>
      <c r="O913" s="158"/>
      <c r="P913" s="147"/>
      <c r="Q913" s="147"/>
      <c r="R913" s="147"/>
      <c r="S913" s="147"/>
      <c r="T913" s="147"/>
      <c r="U913" s="147"/>
      <c r="V913" s="147"/>
      <c r="W913" s="147"/>
      <c r="X913" s="147"/>
      <c r="Y913" s="147"/>
      <c r="Z913" s="147"/>
      <c r="AA913" s="147"/>
      <c r="AB913" s="147"/>
      <c r="AC913" s="147"/>
      <c r="AD913" s="147"/>
      <c r="AE913" s="147"/>
      <c r="AF913" s="147"/>
      <c r="AG913" s="147"/>
      <c r="AH913" s="147"/>
      <c r="AI913" s="147"/>
      <c r="AJ913" s="147"/>
      <c r="AK913" s="147"/>
      <c r="AL913" s="147"/>
      <c r="AM913" s="147"/>
      <c r="AN913" s="147"/>
      <c r="AO913" s="147"/>
      <c r="AP913" s="147"/>
      <c r="AQ913" s="147"/>
      <c r="AR913" s="147"/>
      <c r="AS913" s="147"/>
      <c r="AT913" s="147"/>
      <c r="AU913" s="147"/>
      <c r="AV913" s="147"/>
      <c r="AW913" s="147"/>
      <c r="AX913" s="147"/>
      <c r="AY913" s="147"/>
      <c r="AZ913" s="147"/>
      <c r="BA913" s="147"/>
      <c r="BB913" s="147"/>
      <c r="BC913" s="147"/>
      <c r="BD913" s="147"/>
      <c r="BE913" s="147"/>
      <c r="BF913" s="147"/>
      <c r="BG913" s="147"/>
      <c r="BH913" s="147"/>
      <c r="BI913" s="147"/>
      <c r="BJ913" s="147"/>
      <c r="BK913" s="147"/>
      <c r="BL913" s="147"/>
      <c r="BM913" s="147"/>
      <c r="BN913" s="147"/>
      <c r="BO913" s="147"/>
      <c r="BP913" s="147"/>
      <c r="BQ913" s="147"/>
      <c r="BR913" s="147"/>
      <c r="BS913" s="147"/>
      <c r="BT913" s="147"/>
      <c r="BU913" s="147"/>
      <c r="BV913" s="147"/>
      <c r="BW913" s="147"/>
      <c r="BX913" s="147"/>
      <c r="BY913" s="147"/>
      <c r="BZ913" s="147"/>
      <c r="CA913" s="147"/>
      <c r="CB913" s="147"/>
      <c r="CC913" s="147"/>
      <c r="CD913" s="147"/>
      <c r="CE913" s="147"/>
      <c r="CF913" s="147"/>
      <c r="CG913" s="147"/>
      <c r="CH913" s="147"/>
      <c r="CI913" s="147"/>
      <c r="CJ913" s="147"/>
      <c r="CK913" s="147"/>
    </row>
    <row r="914" spans="1:89">
      <c r="A914" s="147"/>
      <c r="B914" s="147"/>
      <c r="C914" s="147"/>
      <c r="D914" s="147"/>
      <c r="E914" s="147"/>
      <c r="F914" s="147"/>
      <c r="G914" s="147"/>
      <c r="H914" s="147"/>
      <c r="I914" s="147"/>
      <c r="J914" s="147"/>
      <c r="K914" s="147"/>
      <c r="L914" s="147"/>
      <c r="M914" s="147"/>
      <c r="N914" s="147"/>
      <c r="O914" s="158"/>
      <c r="P914" s="147"/>
      <c r="Q914" s="147"/>
      <c r="R914" s="147"/>
      <c r="S914" s="147"/>
      <c r="T914" s="147"/>
      <c r="U914" s="147"/>
      <c r="V914" s="147"/>
      <c r="W914" s="147"/>
      <c r="X914" s="147"/>
      <c r="Y914" s="147"/>
      <c r="Z914" s="147"/>
      <c r="AA914" s="147"/>
      <c r="AB914" s="147"/>
      <c r="AC914" s="147"/>
      <c r="AD914" s="147"/>
      <c r="AE914" s="147"/>
      <c r="AF914" s="147"/>
      <c r="AG914" s="147"/>
      <c r="AH914" s="147"/>
      <c r="AI914" s="147"/>
      <c r="AJ914" s="147"/>
      <c r="AK914" s="147"/>
      <c r="AL914" s="147"/>
      <c r="AM914" s="147"/>
      <c r="AN914" s="147"/>
      <c r="AO914" s="147"/>
      <c r="AP914" s="147"/>
      <c r="AQ914" s="147"/>
      <c r="AR914" s="147"/>
      <c r="AS914" s="147"/>
      <c r="AT914" s="147"/>
      <c r="AU914" s="147"/>
      <c r="AV914" s="147"/>
      <c r="AW914" s="147"/>
      <c r="AX914" s="147"/>
      <c r="AY914" s="147"/>
      <c r="AZ914" s="147"/>
      <c r="BA914" s="147"/>
      <c r="BB914" s="147"/>
      <c r="BC914" s="147"/>
      <c r="BD914" s="147"/>
      <c r="BE914" s="147"/>
      <c r="BF914" s="147"/>
      <c r="BG914" s="147"/>
      <c r="BH914" s="147"/>
      <c r="BI914" s="147"/>
      <c r="BJ914" s="147"/>
      <c r="BK914" s="147"/>
      <c r="BL914" s="147"/>
      <c r="BM914" s="147"/>
      <c r="BN914" s="147"/>
      <c r="BO914" s="147"/>
      <c r="BP914" s="147"/>
      <c r="BQ914" s="147"/>
      <c r="BR914" s="147"/>
      <c r="BS914" s="147"/>
      <c r="BT914" s="147"/>
      <c r="BU914" s="147"/>
      <c r="BV914" s="147"/>
      <c r="BW914" s="147"/>
      <c r="BX914" s="147"/>
      <c r="BY914" s="147"/>
      <c r="BZ914" s="147"/>
      <c r="CA914" s="147"/>
      <c r="CB914" s="147"/>
      <c r="CC914" s="147"/>
      <c r="CD914" s="147"/>
      <c r="CE914" s="147"/>
      <c r="CF914" s="147"/>
      <c r="CG914" s="147"/>
      <c r="CH914" s="147"/>
      <c r="CI914" s="147"/>
      <c r="CJ914" s="147"/>
      <c r="CK914" s="147"/>
    </row>
    <row r="915" spans="1:89">
      <c r="A915" s="147"/>
      <c r="B915" s="147"/>
      <c r="C915" s="147"/>
      <c r="D915" s="147"/>
      <c r="E915" s="147"/>
      <c r="F915" s="147"/>
      <c r="G915" s="147"/>
      <c r="H915" s="147"/>
      <c r="I915" s="147"/>
      <c r="J915" s="147"/>
      <c r="K915" s="147"/>
      <c r="L915" s="147"/>
      <c r="M915" s="147"/>
      <c r="N915" s="147"/>
      <c r="O915" s="158"/>
      <c r="P915" s="147"/>
      <c r="Q915" s="147"/>
      <c r="R915" s="147"/>
      <c r="S915" s="147"/>
      <c r="T915" s="147"/>
      <c r="U915" s="147"/>
      <c r="V915" s="147"/>
      <c r="W915" s="147"/>
      <c r="X915" s="147"/>
      <c r="Y915" s="147"/>
      <c r="Z915" s="147"/>
      <c r="AA915" s="147"/>
      <c r="AB915" s="147"/>
      <c r="AC915" s="147"/>
      <c r="AD915" s="147"/>
      <c r="AE915" s="147"/>
      <c r="AF915" s="147"/>
      <c r="AG915" s="147"/>
      <c r="AH915" s="147"/>
      <c r="AI915" s="147"/>
      <c r="AJ915" s="147"/>
      <c r="AK915" s="147"/>
      <c r="AL915" s="147"/>
      <c r="AM915" s="147"/>
      <c r="AN915" s="147"/>
      <c r="AO915" s="147"/>
      <c r="AP915" s="147"/>
      <c r="AQ915" s="147"/>
      <c r="AR915" s="147"/>
      <c r="AS915" s="147"/>
      <c r="AT915" s="147"/>
      <c r="AU915" s="147"/>
      <c r="AV915" s="147"/>
      <c r="AW915" s="147"/>
      <c r="AX915" s="147"/>
      <c r="AY915" s="147"/>
      <c r="AZ915" s="147"/>
      <c r="BA915" s="147"/>
      <c r="BB915" s="147"/>
      <c r="BC915" s="147"/>
      <c r="BD915" s="147"/>
      <c r="BE915" s="147"/>
      <c r="BF915" s="147"/>
      <c r="BG915" s="147"/>
      <c r="BH915" s="147"/>
      <c r="BI915" s="147"/>
      <c r="BJ915" s="147"/>
      <c r="BK915" s="147"/>
      <c r="BL915" s="147"/>
      <c r="BM915" s="147"/>
      <c r="BN915" s="147"/>
      <c r="BO915" s="147"/>
      <c r="BP915" s="147"/>
      <c r="BQ915" s="147"/>
      <c r="BR915" s="147"/>
      <c r="BS915" s="147"/>
      <c r="BT915" s="147"/>
      <c r="BU915" s="147"/>
      <c r="BV915" s="147"/>
      <c r="BW915" s="147"/>
      <c r="BX915" s="147"/>
      <c r="BY915" s="147"/>
      <c r="BZ915" s="147"/>
      <c r="CA915" s="147"/>
      <c r="CB915" s="147"/>
      <c r="CC915" s="147"/>
      <c r="CD915" s="147"/>
      <c r="CE915" s="147"/>
      <c r="CF915" s="147"/>
      <c r="CG915" s="147"/>
      <c r="CH915" s="147"/>
      <c r="CI915" s="147"/>
      <c r="CJ915" s="147"/>
      <c r="CK915" s="147"/>
    </row>
    <row r="916" spans="1:89">
      <c r="A916" s="147"/>
      <c r="B916" s="147"/>
      <c r="C916" s="147"/>
      <c r="D916" s="147"/>
      <c r="E916" s="147"/>
      <c r="F916" s="147"/>
      <c r="G916" s="147"/>
      <c r="H916" s="147"/>
      <c r="I916" s="147"/>
      <c r="J916" s="147"/>
      <c r="K916" s="147"/>
      <c r="L916" s="147"/>
      <c r="M916" s="147"/>
      <c r="N916" s="147"/>
      <c r="O916" s="158"/>
      <c r="P916" s="147"/>
      <c r="Q916" s="147"/>
      <c r="R916" s="147"/>
      <c r="S916" s="147"/>
      <c r="T916" s="147"/>
      <c r="U916" s="147"/>
      <c r="V916" s="147"/>
      <c r="W916" s="147"/>
      <c r="X916" s="147"/>
      <c r="Y916" s="147"/>
      <c r="Z916" s="147"/>
      <c r="AA916" s="147"/>
      <c r="AB916" s="147"/>
      <c r="AC916" s="147"/>
      <c r="AD916" s="147"/>
      <c r="AE916" s="147"/>
      <c r="AF916" s="147"/>
      <c r="AG916" s="147"/>
      <c r="AH916" s="147"/>
      <c r="AI916" s="147"/>
      <c r="AJ916" s="147"/>
      <c r="AK916" s="147"/>
      <c r="AL916" s="147"/>
      <c r="AM916" s="147"/>
      <c r="AN916" s="147"/>
      <c r="AO916" s="147"/>
      <c r="AP916" s="147"/>
      <c r="AQ916" s="147"/>
      <c r="AR916" s="147"/>
      <c r="AS916" s="147"/>
      <c r="AT916" s="147"/>
      <c r="AU916" s="147"/>
      <c r="AV916" s="147"/>
      <c r="AW916" s="147"/>
      <c r="AX916" s="147"/>
      <c r="AY916" s="147"/>
      <c r="AZ916" s="147"/>
      <c r="BA916" s="147"/>
      <c r="BB916" s="147"/>
      <c r="BC916" s="147"/>
      <c r="BD916" s="147"/>
      <c r="BE916" s="147"/>
      <c r="BF916" s="147"/>
      <c r="BG916" s="147"/>
      <c r="BH916" s="147"/>
      <c r="BI916" s="147"/>
      <c r="BJ916" s="147"/>
      <c r="BK916" s="147"/>
      <c r="BL916" s="147"/>
      <c r="BM916" s="147"/>
      <c r="BN916" s="147"/>
      <c r="BO916" s="147"/>
      <c r="BP916" s="147"/>
      <c r="BQ916" s="147"/>
      <c r="BR916" s="147"/>
      <c r="BS916" s="147"/>
      <c r="BT916" s="147"/>
      <c r="BU916" s="147"/>
      <c r="BV916" s="147"/>
      <c r="BW916" s="147"/>
      <c r="BX916" s="147"/>
      <c r="BY916" s="147"/>
      <c r="BZ916" s="147"/>
      <c r="CA916" s="147"/>
      <c r="CB916" s="147"/>
      <c r="CC916" s="147"/>
      <c r="CD916" s="147"/>
      <c r="CE916" s="147"/>
      <c r="CF916" s="147"/>
      <c r="CG916" s="147"/>
      <c r="CH916" s="147"/>
      <c r="CI916" s="147"/>
      <c r="CJ916" s="147"/>
      <c r="CK916" s="147"/>
    </row>
    <row r="917" spans="1:89">
      <c r="A917" s="147"/>
      <c r="B917" s="147"/>
      <c r="C917" s="147"/>
      <c r="D917" s="147"/>
      <c r="E917" s="147"/>
      <c r="F917" s="147"/>
      <c r="G917" s="147"/>
      <c r="H917" s="147"/>
      <c r="I917" s="147"/>
      <c r="J917" s="147"/>
      <c r="K917" s="147"/>
      <c r="L917" s="147"/>
      <c r="M917" s="147"/>
      <c r="N917" s="147"/>
      <c r="O917" s="158"/>
      <c r="P917" s="147"/>
      <c r="Q917" s="147"/>
      <c r="R917" s="147"/>
      <c r="S917" s="147"/>
      <c r="T917" s="147"/>
      <c r="U917" s="147"/>
      <c r="V917" s="147"/>
      <c r="W917" s="147"/>
      <c r="X917" s="147"/>
      <c r="Y917" s="147"/>
      <c r="Z917" s="147"/>
      <c r="AA917" s="147"/>
      <c r="AB917" s="147"/>
      <c r="AC917" s="147"/>
      <c r="AD917" s="147"/>
      <c r="AE917" s="147"/>
      <c r="AF917" s="147"/>
      <c r="AG917" s="147"/>
      <c r="AH917" s="147"/>
      <c r="AI917" s="147"/>
      <c r="AJ917" s="147"/>
      <c r="AK917" s="147"/>
      <c r="AL917" s="147"/>
      <c r="AM917" s="147"/>
      <c r="AN917" s="147"/>
      <c r="AO917" s="147"/>
      <c r="AP917" s="147"/>
      <c r="AQ917" s="147"/>
      <c r="AR917" s="147"/>
      <c r="AS917" s="147"/>
      <c r="AT917" s="147"/>
      <c r="AU917" s="147"/>
      <c r="AV917" s="147"/>
      <c r="AW917" s="147"/>
      <c r="AX917" s="147"/>
      <c r="AY917" s="147"/>
      <c r="AZ917" s="147"/>
      <c r="BA917" s="147"/>
      <c r="BB917" s="147"/>
      <c r="BC917" s="147"/>
      <c r="BD917" s="147"/>
      <c r="BE917" s="147"/>
      <c r="BF917" s="147"/>
      <c r="BG917" s="147"/>
      <c r="BH917" s="147"/>
      <c r="BI917" s="147"/>
      <c r="BJ917" s="147"/>
      <c r="BK917" s="147"/>
      <c r="BL917" s="147"/>
      <c r="BM917" s="147"/>
      <c r="BN917" s="147"/>
      <c r="BO917" s="147"/>
      <c r="BP917" s="147"/>
      <c r="BQ917" s="147"/>
      <c r="BR917" s="147"/>
      <c r="BS917" s="147"/>
      <c r="BT917" s="147"/>
      <c r="BU917" s="147"/>
      <c r="BV917" s="147"/>
      <c r="BW917" s="147"/>
      <c r="BX917" s="147"/>
      <c r="BY917" s="147"/>
      <c r="BZ917" s="147"/>
      <c r="CA917" s="147"/>
      <c r="CB917" s="147"/>
      <c r="CC917" s="147"/>
      <c r="CD917" s="147"/>
      <c r="CE917" s="147"/>
      <c r="CF917" s="147"/>
      <c r="CG917" s="147"/>
      <c r="CH917" s="147"/>
      <c r="CI917" s="147"/>
      <c r="CJ917" s="147"/>
      <c r="CK917" s="147"/>
    </row>
    <row r="918" spans="1:89">
      <c r="A918" s="147"/>
      <c r="B918" s="147"/>
      <c r="C918" s="147"/>
      <c r="D918" s="147"/>
      <c r="E918" s="147"/>
      <c r="F918" s="147"/>
      <c r="G918" s="147"/>
      <c r="H918" s="147"/>
      <c r="I918" s="147"/>
      <c r="J918" s="147"/>
      <c r="K918" s="147"/>
      <c r="L918" s="147"/>
      <c r="M918" s="147"/>
      <c r="N918" s="147"/>
      <c r="O918" s="158"/>
      <c r="P918" s="147"/>
      <c r="Q918" s="147"/>
      <c r="R918" s="147"/>
      <c r="S918" s="147"/>
      <c r="T918" s="147"/>
      <c r="U918" s="147"/>
      <c r="V918" s="147"/>
      <c r="W918" s="147"/>
      <c r="X918" s="147"/>
      <c r="Y918" s="147"/>
      <c r="Z918" s="147"/>
      <c r="AA918" s="147"/>
      <c r="AB918" s="147"/>
      <c r="AC918" s="147"/>
      <c r="AD918" s="147"/>
      <c r="AE918" s="147"/>
      <c r="AF918" s="147"/>
      <c r="AG918" s="147"/>
      <c r="AH918" s="147"/>
      <c r="AI918" s="147"/>
      <c r="AJ918" s="147"/>
      <c r="AK918" s="147"/>
      <c r="AL918" s="147"/>
      <c r="AM918" s="147"/>
      <c r="AN918" s="147"/>
      <c r="AO918" s="147"/>
      <c r="AP918" s="147"/>
      <c r="AQ918" s="147"/>
      <c r="AR918" s="147"/>
      <c r="AS918" s="147"/>
      <c r="AT918" s="147"/>
      <c r="AU918" s="147"/>
      <c r="AV918" s="147"/>
      <c r="AW918" s="147"/>
      <c r="AX918" s="147"/>
      <c r="AY918" s="147"/>
      <c r="AZ918" s="147"/>
      <c r="BA918" s="147"/>
      <c r="BB918" s="147"/>
      <c r="BC918" s="147"/>
      <c r="BD918" s="147"/>
      <c r="BE918" s="147"/>
      <c r="BF918" s="147"/>
      <c r="BG918" s="147"/>
      <c r="BH918" s="147"/>
      <c r="BI918" s="147"/>
      <c r="BJ918" s="147"/>
      <c r="BK918" s="147"/>
      <c r="BL918" s="147"/>
      <c r="BM918" s="147"/>
      <c r="BN918" s="147"/>
      <c r="BO918" s="147"/>
      <c r="BP918" s="147"/>
      <c r="BQ918" s="147"/>
      <c r="BR918" s="147"/>
      <c r="BS918" s="147"/>
      <c r="BT918" s="147"/>
      <c r="BU918" s="147"/>
      <c r="BV918" s="147"/>
      <c r="BW918" s="147"/>
      <c r="BX918" s="147"/>
      <c r="BY918" s="147"/>
      <c r="BZ918" s="147"/>
      <c r="CA918" s="147"/>
      <c r="CB918" s="147"/>
      <c r="CC918" s="147"/>
      <c r="CD918" s="147"/>
      <c r="CE918" s="147"/>
      <c r="CF918" s="147"/>
      <c r="CG918" s="147"/>
      <c r="CH918" s="147"/>
      <c r="CI918" s="147"/>
      <c r="CJ918" s="147"/>
      <c r="CK918" s="147"/>
    </row>
    <row r="919" spans="1:89">
      <c r="A919" s="147"/>
      <c r="B919" s="147"/>
      <c r="C919" s="147"/>
      <c r="D919" s="147"/>
      <c r="E919" s="147"/>
      <c r="F919" s="147"/>
      <c r="G919" s="147"/>
      <c r="H919" s="147"/>
      <c r="I919" s="147"/>
      <c r="J919" s="147"/>
      <c r="K919" s="147"/>
      <c r="L919" s="147"/>
      <c r="M919" s="147"/>
      <c r="N919" s="147"/>
      <c r="O919" s="158"/>
      <c r="P919" s="147"/>
      <c r="Q919" s="147"/>
      <c r="R919" s="147"/>
      <c r="S919" s="147"/>
      <c r="T919" s="147"/>
      <c r="U919" s="147"/>
      <c r="V919" s="147"/>
      <c r="W919" s="147"/>
      <c r="X919" s="147"/>
      <c r="Y919" s="147"/>
      <c r="Z919" s="147"/>
      <c r="AA919" s="147"/>
      <c r="AB919" s="147"/>
      <c r="AC919" s="147"/>
      <c r="AD919" s="147"/>
      <c r="AE919" s="147"/>
      <c r="AF919" s="147"/>
      <c r="AG919" s="147"/>
      <c r="AH919" s="147"/>
      <c r="AI919" s="147"/>
      <c r="AJ919" s="147"/>
      <c r="AK919" s="147"/>
      <c r="AL919" s="147"/>
      <c r="AM919" s="147"/>
      <c r="AN919" s="147"/>
      <c r="AO919" s="147"/>
      <c r="AP919" s="147"/>
      <c r="AQ919" s="147"/>
      <c r="AR919" s="147"/>
      <c r="AS919" s="147"/>
      <c r="AT919" s="147"/>
      <c r="AU919" s="147"/>
      <c r="AV919" s="147"/>
      <c r="AW919" s="147"/>
      <c r="AX919" s="147"/>
      <c r="AY919" s="147"/>
      <c r="AZ919" s="147"/>
      <c r="BA919" s="147"/>
      <c r="BB919" s="147"/>
      <c r="BC919" s="147"/>
      <c r="BD919" s="147"/>
      <c r="BE919" s="147"/>
      <c r="BF919" s="147"/>
      <c r="BG919" s="147"/>
      <c r="BH919" s="147"/>
      <c r="BI919" s="147"/>
      <c r="BJ919" s="147"/>
      <c r="BK919" s="147"/>
      <c r="BL919" s="147"/>
      <c r="BM919" s="147"/>
      <c r="BN919" s="147"/>
      <c r="BO919" s="147"/>
      <c r="BP919" s="147"/>
      <c r="BQ919" s="147"/>
      <c r="BR919" s="147"/>
      <c r="BS919" s="147"/>
      <c r="BT919" s="147"/>
      <c r="BU919" s="147"/>
      <c r="BV919" s="147"/>
      <c r="BW919" s="147"/>
      <c r="BX919" s="147"/>
      <c r="BY919" s="147"/>
      <c r="BZ919" s="147"/>
      <c r="CA919" s="147"/>
      <c r="CB919" s="147"/>
      <c r="CC919" s="147"/>
      <c r="CD919" s="147"/>
      <c r="CE919" s="147"/>
      <c r="CF919" s="147"/>
      <c r="CG919" s="147"/>
      <c r="CH919" s="147"/>
      <c r="CI919" s="147"/>
      <c r="CJ919" s="147"/>
      <c r="CK919" s="147"/>
    </row>
    <row r="920" spans="1:89">
      <c r="A920" s="147"/>
      <c r="B920" s="147"/>
      <c r="C920" s="147"/>
      <c r="D920" s="147"/>
      <c r="E920" s="147"/>
      <c r="F920" s="147"/>
      <c r="G920" s="147"/>
      <c r="H920" s="147"/>
      <c r="I920" s="147"/>
      <c r="J920" s="147"/>
      <c r="K920" s="147"/>
      <c r="L920" s="147"/>
      <c r="M920" s="147"/>
      <c r="N920" s="147"/>
      <c r="O920" s="158"/>
      <c r="P920" s="147"/>
      <c r="Q920" s="147"/>
      <c r="R920" s="147"/>
      <c r="S920" s="147"/>
      <c r="T920" s="147"/>
      <c r="U920" s="147"/>
      <c r="V920" s="147"/>
      <c r="W920" s="147"/>
      <c r="X920" s="147"/>
      <c r="Y920" s="147"/>
      <c r="Z920" s="147"/>
      <c r="AA920" s="147"/>
      <c r="AB920" s="147"/>
      <c r="AC920" s="147"/>
      <c r="AD920" s="147"/>
      <c r="AE920" s="147"/>
      <c r="AF920" s="147"/>
      <c r="AG920" s="147"/>
      <c r="AH920" s="147"/>
      <c r="AI920" s="147"/>
      <c r="AJ920" s="147"/>
      <c r="AK920" s="147"/>
      <c r="AL920" s="147"/>
      <c r="AM920" s="147"/>
      <c r="AN920" s="147"/>
      <c r="AO920" s="147"/>
      <c r="AP920" s="147"/>
      <c r="AQ920" s="147"/>
      <c r="AR920" s="147"/>
      <c r="AS920" s="147"/>
      <c r="AT920" s="147"/>
      <c r="AU920" s="147"/>
      <c r="AV920" s="147"/>
      <c r="AW920" s="147"/>
      <c r="AX920" s="147"/>
      <c r="AY920" s="147"/>
      <c r="AZ920" s="147"/>
      <c r="BA920" s="147"/>
      <c r="BB920" s="147"/>
      <c r="BC920" s="147"/>
      <c r="BD920" s="147"/>
      <c r="BE920" s="147"/>
      <c r="BF920" s="147"/>
      <c r="BG920" s="147"/>
      <c r="BH920" s="147"/>
      <c r="BI920" s="147"/>
      <c r="BJ920" s="147"/>
      <c r="BK920" s="147"/>
      <c r="BL920" s="147"/>
      <c r="BM920" s="147"/>
      <c r="BN920" s="147"/>
      <c r="BO920" s="147"/>
      <c r="BP920" s="147"/>
      <c r="BQ920" s="147"/>
      <c r="BR920" s="147"/>
      <c r="BS920" s="147"/>
      <c r="BT920" s="147"/>
      <c r="BU920" s="147"/>
      <c r="BV920" s="147"/>
      <c r="BW920" s="147"/>
      <c r="BX920" s="147"/>
      <c r="BY920" s="147"/>
      <c r="BZ920" s="147"/>
      <c r="CA920" s="147"/>
      <c r="CB920" s="147"/>
      <c r="CC920" s="147"/>
      <c r="CD920" s="147"/>
      <c r="CE920" s="147"/>
      <c r="CF920" s="147"/>
      <c r="CG920" s="147"/>
      <c r="CH920" s="147"/>
      <c r="CI920" s="147"/>
      <c r="CJ920" s="147"/>
      <c r="CK920" s="147"/>
    </row>
    <row r="921" spans="1:89">
      <c r="A921" s="147"/>
      <c r="B921" s="147"/>
      <c r="C921" s="147"/>
      <c r="D921" s="147"/>
      <c r="E921" s="147"/>
      <c r="F921" s="147"/>
      <c r="G921" s="147"/>
      <c r="H921" s="147"/>
      <c r="I921" s="147"/>
      <c r="J921" s="147"/>
      <c r="K921" s="147"/>
      <c r="L921" s="147"/>
      <c r="M921" s="147"/>
      <c r="N921" s="147"/>
      <c r="O921" s="158"/>
      <c r="P921" s="147"/>
      <c r="Q921" s="147"/>
      <c r="R921" s="147"/>
      <c r="S921" s="147"/>
      <c r="T921" s="147"/>
      <c r="U921" s="147"/>
      <c r="V921" s="147"/>
      <c r="W921" s="147"/>
      <c r="X921" s="147"/>
      <c r="Y921" s="147"/>
      <c r="Z921" s="147"/>
      <c r="AA921" s="147"/>
      <c r="AB921" s="147"/>
      <c r="AC921" s="147"/>
      <c r="AD921" s="147"/>
      <c r="AE921" s="147"/>
      <c r="AF921" s="147"/>
      <c r="AG921" s="147"/>
      <c r="AH921" s="147"/>
      <c r="AI921" s="147"/>
      <c r="AJ921" s="147"/>
      <c r="AK921" s="147"/>
      <c r="AL921" s="147"/>
      <c r="AM921" s="147"/>
      <c r="AN921" s="147"/>
      <c r="AO921" s="147"/>
      <c r="AP921" s="147"/>
      <c r="AQ921" s="147"/>
      <c r="AR921" s="147"/>
      <c r="AS921" s="147"/>
      <c r="AT921" s="147"/>
      <c r="AU921" s="147"/>
      <c r="AV921" s="147"/>
      <c r="AW921" s="147"/>
      <c r="AX921" s="147"/>
      <c r="AY921" s="147"/>
      <c r="AZ921" s="147"/>
      <c r="BA921" s="147"/>
      <c r="BB921" s="147"/>
      <c r="BC921" s="147"/>
      <c r="BD921" s="147"/>
      <c r="BE921" s="147"/>
      <c r="BF921" s="147"/>
      <c r="BG921" s="147"/>
      <c r="BH921" s="147"/>
      <c r="BI921" s="147"/>
      <c r="BJ921" s="147"/>
      <c r="BK921" s="147"/>
      <c r="BL921" s="147"/>
      <c r="BM921" s="147"/>
      <c r="BN921" s="147"/>
      <c r="BO921" s="147"/>
      <c r="BP921" s="147"/>
      <c r="BQ921" s="147"/>
      <c r="BR921" s="147"/>
      <c r="BS921" s="147"/>
      <c r="BT921" s="147"/>
      <c r="BU921" s="147"/>
      <c r="BV921" s="147"/>
      <c r="BW921" s="147"/>
      <c r="BX921" s="147"/>
      <c r="BY921" s="147"/>
      <c r="BZ921" s="147"/>
      <c r="CA921" s="147"/>
      <c r="CB921" s="147"/>
      <c r="CC921" s="147"/>
      <c r="CD921" s="147"/>
      <c r="CE921" s="147"/>
      <c r="CF921" s="147"/>
      <c r="CG921" s="147"/>
      <c r="CH921" s="147"/>
      <c r="CI921" s="147"/>
      <c r="CJ921" s="147"/>
      <c r="CK921" s="147"/>
    </row>
    <row r="922" spans="1:89">
      <c r="A922" s="147"/>
      <c r="B922" s="147"/>
      <c r="C922" s="147"/>
      <c r="D922" s="147"/>
      <c r="E922" s="147"/>
      <c r="F922" s="147"/>
      <c r="G922" s="147"/>
      <c r="H922" s="147"/>
      <c r="I922" s="147"/>
      <c r="J922" s="147"/>
      <c r="K922" s="147"/>
      <c r="L922" s="147"/>
      <c r="M922" s="147"/>
      <c r="N922" s="147"/>
      <c r="O922" s="158"/>
      <c r="P922" s="147"/>
      <c r="Q922" s="147"/>
      <c r="R922" s="147"/>
      <c r="S922" s="147"/>
      <c r="T922" s="147"/>
      <c r="U922" s="147"/>
      <c r="V922" s="147"/>
      <c r="W922" s="147"/>
      <c r="X922" s="147"/>
      <c r="Y922" s="147"/>
      <c r="Z922" s="147"/>
      <c r="AA922" s="147"/>
      <c r="AB922" s="147"/>
      <c r="AC922" s="147"/>
      <c r="AD922" s="147"/>
      <c r="AE922" s="147"/>
      <c r="AF922" s="147"/>
      <c r="AG922" s="147"/>
      <c r="AH922" s="147"/>
      <c r="AI922" s="147"/>
      <c r="AJ922" s="147"/>
      <c r="AK922" s="147"/>
      <c r="AL922" s="147"/>
      <c r="AM922" s="147"/>
      <c r="AN922" s="147"/>
      <c r="AO922" s="147"/>
      <c r="AP922" s="147"/>
      <c r="AQ922" s="147"/>
      <c r="AR922" s="147"/>
      <c r="AS922" s="147"/>
      <c r="AT922" s="147"/>
      <c r="AU922" s="147"/>
      <c r="AV922" s="147"/>
      <c r="AW922" s="147"/>
      <c r="AX922" s="147"/>
      <c r="AY922" s="147"/>
      <c r="AZ922" s="147"/>
      <c r="BA922" s="147"/>
      <c r="BB922" s="147"/>
      <c r="BC922" s="147"/>
      <c r="BD922" s="147"/>
      <c r="BE922" s="147"/>
      <c r="BF922" s="147"/>
      <c r="BG922" s="147"/>
      <c r="BH922" s="147"/>
      <c r="BI922" s="147"/>
      <c r="BJ922" s="147"/>
      <c r="BK922" s="147"/>
      <c r="BL922" s="147"/>
      <c r="BM922" s="147"/>
      <c r="BN922" s="147"/>
      <c r="BO922" s="147"/>
      <c r="BP922" s="147"/>
      <c r="BQ922" s="147"/>
      <c r="BR922" s="147"/>
      <c r="BS922" s="147"/>
      <c r="BT922" s="147"/>
      <c r="BU922" s="147"/>
      <c r="BV922" s="147"/>
      <c r="BW922" s="147"/>
      <c r="BX922" s="147"/>
      <c r="BY922" s="147"/>
      <c r="BZ922" s="147"/>
      <c r="CA922" s="147"/>
      <c r="CB922" s="147"/>
      <c r="CC922" s="147"/>
      <c r="CD922" s="147"/>
      <c r="CE922" s="147"/>
      <c r="CF922" s="147"/>
      <c r="CG922" s="147"/>
      <c r="CH922" s="147"/>
      <c r="CI922" s="147"/>
      <c r="CJ922" s="147"/>
      <c r="CK922" s="147"/>
    </row>
    <row r="923" spans="1:89">
      <c r="A923" s="147"/>
      <c r="B923" s="147"/>
      <c r="C923" s="147"/>
      <c r="D923" s="147"/>
      <c r="E923" s="147"/>
      <c r="F923" s="147"/>
      <c r="G923" s="147"/>
      <c r="H923" s="147"/>
      <c r="I923" s="147"/>
      <c r="J923" s="147"/>
      <c r="K923" s="147"/>
      <c r="L923" s="147"/>
      <c r="M923" s="147"/>
      <c r="N923" s="147"/>
      <c r="O923" s="158"/>
      <c r="P923" s="147"/>
      <c r="Q923" s="147"/>
      <c r="R923" s="147"/>
      <c r="S923" s="147"/>
      <c r="T923" s="147"/>
      <c r="U923" s="147"/>
      <c r="V923" s="147"/>
      <c r="W923" s="147"/>
      <c r="X923" s="147"/>
      <c r="Y923" s="147"/>
      <c r="Z923" s="147"/>
      <c r="AA923" s="147"/>
      <c r="AB923" s="147"/>
      <c r="AC923" s="147"/>
      <c r="AD923" s="147"/>
      <c r="AE923" s="147"/>
      <c r="AF923" s="147"/>
      <c r="AG923" s="147"/>
      <c r="AH923" s="147"/>
      <c r="AI923" s="147"/>
      <c r="AJ923" s="147"/>
      <c r="AK923" s="147"/>
      <c r="AL923" s="147"/>
      <c r="AM923" s="147"/>
      <c r="AN923" s="147"/>
      <c r="AO923" s="147"/>
      <c r="AP923" s="147"/>
      <c r="AQ923" s="147"/>
      <c r="AR923" s="147"/>
      <c r="AS923" s="147"/>
      <c r="AT923" s="147"/>
      <c r="AU923" s="147"/>
      <c r="AV923" s="147"/>
      <c r="AW923" s="147"/>
      <c r="AX923" s="147"/>
      <c r="AY923" s="147"/>
      <c r="AZ923" s="147"/>
      <c r="BA923" s="147"/>
      <c r="BB923" s="147"/>
      <c r="BC923" s="147"/>
      <c r="BD923" s="147"/>
      <c r="BE923" s="147"/>
      <c r="BF923" s="147"/>
      <c r="BG923" s="147"/>
      <c r="BH923" s="147"/>
      <c r="BI923" s="147"/>
      <c r="BJ923" s="147"/>
      <c r="BK923" s="147"/>
      <c r="BL923" s="147"/>
      <c r="BM923" s="147"/>
      <c r="BN923" s="147"/>
      <c r="BO923" s="147"/>
      <c r="BP923" s="147"/>
      <c r="BQ923" s="147"/>
      <c r="BR923" s="147"/>
      <c r="BS923" s="147"/>
      <c r="BT923" s="147"/>
      <c r="BU923" s="147"/>
      <c r="BV923" s="147"/>
      <c r="BW923" s="147"/>
      <c r="BX923" s="147"/>
      <c r="BY923" s="147"/>
      <c r="BZ923" s="147"/>
      <c r="CA923" s="147"/>
      <c r="CB923" s="147"/>
      <c r="CC923" s="147"/>
      <c r="CD923" s="147"/>
      <c r="CE923" s="147"/>
      <c r="CF923" s="147"/>
      <c r="CG923" s="147"/>
      <c r="CH923" s="147"/>
      <c r="CI923" s="147"/>
      <c r="CJ923" s="147"/>
      <c r="CK923" s="147"/>
    </row>
    <row r="924" spans="1:89">
      <c r="A924" s="147"/>
      <c r="B924" s="147"/>
      <c r="C924" s="147"/>
      <c r="D924" s="147"/>
      <c r="E924" s="147"/>
      <c r="F924" s="147"/>
      <c r="G924" s="147"/>
      <c r="H924" s="147"/>
      <c r="I924" s="147"/>
      <c r="J924" s="147"/>
      <c r="K924" s="147"/>
      <c r="L924" s="147"/>
      <c r="M924" s="147"/>
      <c r="N924" s="147"/>
      <c r="O924" s="158"/>
      <c r="P924" s="147"/>
      <c r="Q924" s="147"/>
      <c r="R924" s="147"/>
      <c r="S924" s="147"/>
      <c r="T924" s="147"/>
      <c r="U924" s="147"/>
      <c r="V924" s="147"/>
      <c r="W924" s="147"/>
      <c r="X924" s="147"/>
      <c r="Y924" s="147"/>
      <c r="Z924" s="147"/>
      <c r="AA924" s="147"/>
      <c r="AB924" s="147"/>
      <c r="AC924" s="147"/>
      <c r="AD924" s="147"/>
      <c r="AE924" s="147"/>
      <c r="AF924" s="147"/>
      <c r="AG924" s="147"/>
      <c r="AH924" s="147"/>
      <c r="AI924" s="147"/>
      <c r="AJ924" s="147"/>
      <c r="AK924" s="147"/>
      <c r="AL924" s="147"/>
      <c r="AM924" s="147"/>
      <c r="AN924" s="147"/>
      <c r="AO924" s="147"/>
      <c r="AP924" s="147"/>
      <c r="AQ924" s="147"/>
      <c r="AR924" s="147"/>
      <c r="AS924" s="147"/>
      <c r="AT924" s="147"/>
      <c r="AU924" s="147"/>
      <c r="AV924" s="147"/>
      <c r="AW924" s="147"/>
      <c r="AX924" s="147"/>
      <c r="AY924" s="147"/>
      <c r="AZ924" s="147"/>
      <c r="BA924" s="147"/>
      <c r="BB924" s="147"/>
      <c r="BC924" s="147"/>
      <c r="BD924" s="147"/>
      <c r="BE924" s="147"/>
      <c r="BF924" s="147"/>
      <c r="BG924" s="147"/>
      <c r="BH924" s="147"/>
      <c r="BI924" s="147"/>
      <c r="BJ924" s="147"/>
      <c r="BK924" s="147"/>
      <c r="BL924" s="147"/>
      <c r="BM924" s="147"/>
      <c r="BN924" s="147"/>
      <c r="BO924" s="147"/>
      <c r="BP924" s="147"/>
      <c r="BQ924" s="147"/>
      <c r="BR924" s="147"/>
      <c r="BS924" s="147"/>
      <c r="BT924" s="147"/>
      <c r="BU924" s="147"/>
      <c r="BV924" s="147"/>
      <c r="BW924" s="147"/>
      <c r="BX924" s="147"/>
      <c r="BY924" s="147"/>
      <c r="BZ924" s="147"/>
      <c r="CA924" s="147"/>
      <c r="CB924" s="147"/>
      <c r="CC924" s="147"/>
      <c r="CD924" s="147"/>
      <c r="CE924" s="147"/>
      <c r="CF924" s="147"/>
      <c r="CG924" s="147"/>
      <c r="CH924" s="147"/>
      <c r="CI924" s="147"/>
      <c r="CJ924" s="147"/>
      <c r="CK924" s="147"/>
    </row>
    <row r="925" spans="1:89">
      <c r="A925" s="147"/>
      <c r="B925" s="147"/>
      <c r="C925" s="147"/>
      <c r="D925" s="147"/>
      <c r="E925" s="147"/>
      <c r="F925" s="147"/>
      <c r="G925" s="147"/>
      <c r="H925" s="147"/>
      <c r="I925" s="147"/>
      <c r="J925" s="147"/>
      <c r="K925" s="147"/>
      <c r="L925" s="147"/>
      <c r="M925" s="147"/>
      <c r="N925" s="147"/>
      <c r="O925" s="158"/>
      <c r="P925" s="147"/>
      <c r="Q925" s="147"/>
      <c r="R925" s="147"/>
      <c r="S925" s="147"/>
      <c r="T925" s="147"/>
      <c r="U925" s="147"/>
      <c r="V925" s="147"/>
      <c r="W925" s="147"/>
      <c r="X925" s="147"/>
      <c r="Y925" s="147"/>
      <c r="Z925" s="147"/>
      <c r="AA925" s="147"/>
      <c r="AB925" s="147"/>
      <c r="AC925" s="147"/>
      <c r="AD925" s="147"/>
      <c r="AE925" s="147"/>
      <c r="AF925" s="147"/>
      <c r="AG925" s="147"/>
      <c r="AH925" s="147"/>
      <c r="AI925" s="147"/>
      <c r="AJ925" s="147"/>
      <c r="AK925" s="147"/>
      <c r="AL925" s="147"/>
      <c r="AM925" s="147"/>
      <c r="AN925" s="147"/>
      <c r="AO925" s="147"/>
      <c r="AP925" s="147"/>
      <c r="AQ925" s="147"/>
      <c r="AR925" s="147"/>
      <c r="AS925" s="147"/>
      <c r="AT925" s="147"/>
      <c r="AU925" s="147"/>
      <c r="AV925" s="147"/>
      <c r="AW925" s="147"/>
      <c r="AX925" s="147"/>
      <c r="AY925" s="147"/>
      <c r="AZ925" s="147"/>
      <c r="BA925" s="147"/>
      <c r="BB925" s="147"/>
      <c r="BC925" s="147"/>
      <c r="BD925" s="147"/>
      <c r="BE925" s="147"/>
      <c r="BF925" s="147"/>
      <c r="BG925" s="147"/>
      <c r="BH925" s="147"/>
      <c r="BI925" s="147"/>
      <c r="BJ925" s="147"/>
      <c r="BK925" s="147"/>
      <c r="BL925" s="147"/>
      <c r="BM925" s="147"/>
      <c r="BN925" s="147"/>
      <c r="BO925" s="147"/>
      <c r="BP925" s="147"/>
      <c r="BQ925" s="147"/>
      <c r="BR925" s="147"/>
      <c r="BS925" s="147"/>
      <c r="BT925" s="147"/>
      <c r="BU925" s="147"/>
      <c r="BV925" s="147"/>
      <c r="BW925" s="147"/>
      <c r="BX925" s="147"/>
      <c r="BY925" s="147"/>
      <c r="BZ925" s="147"/>
      <c r="CA925" s="147"/>
      <c r="CB925" s="147"/>
      <c r="CC925" s="147"/>
      <c r="CD925" s="147"/>
      <c r="CE925" s="147"/>
      <c r="CF925" s="147"/>
      <c r="CG925" s="147"/>
      <c r="CH925" s="147"/>
      <c r="CI925" s="147"/>
      <c r="CJ925" s="147"/>
      <c r="CK925" s="147"/>
    </row>
    <row r="926" spans="1:89">
      <c r="A926" s="147"/>
      <c r="B926" s="147"/>
      <c r="C926" s="147"/>
      <c r="D926" s="147"/>
      <c r="E926" s="147"/>
      <c r="F926" s="147"/>
      <c r="G926" s="147"/>
      <c r="H926" s="147"/>
      <c r="I926" s="147"/>
      <c r="J926" s="147"/>
      <c r="K926" s="147"/>
      <c r="L926" s="147"/>
      <c r="M926" s="147"/>
      <c r="N926" s="147"/>
      <c r="O926" s="158"/>
      <c r="P926" s="147"/>
      <c r="Q926" s="147"/>
      <c r="R926" s="147"/>
      <c r="S926" s="147"/>
      <c r="T926" s="147"/>
      <c r="U926" s="147"/>
      <c r="V926" s="147"/>
      <c r="W926" s="147"/>
      <c r="X926" s="147"/>
      <c r="Y926" s="147"/>
      <c r="Z926" s="147"/>
      <c r="AA926" s="147"/>
      <c r="AB926" s="147"/>
      <c r="AC926" s="147"/>
      <c r="AD926" s="147"/>
      <c r="AE926" s="147"/>
      <c r="AF926" s="147"/>
      <c r="AG926" s="147"/>
      <c r="AH926" s="147"/>
      <c r="AI926" s="147"/>
      <c r="AJ926" s="147"/>
      <c r="AK926" s="147"/>
      <c r="AL926" s="147"/>
      <c r="AM926" s="147"/>
      <c r="AN926" s="147"/>
      <c r="AO926" s="147"/>
      <c r="AP926" s="147"/>
      <c r="AQ926" s="147"/>
      <c r="AR926" s="147"/>
      <c r="AS926" s="147"/>
      <c r="AT926" s="147"/>
      <c r="AU926" s="147"/>
      <c r="AV926" s="147"/>
      <c r="AW926" s="147"/>
      <c r="AX926" s="147"/>
      <c r="AY926" s="147"/>
      <c r="AZ926" s="147"/>
      <c r="BA926" s="147"/>
      <c r="BB926" s="147"/>
      <c r="BC926" s="147"/>
      <c r="BD926" s="147"/>
      <c r="BE926" s="147"/>
      <c r="BF926" s="147"/>
      <c r="BG926" s="147"/>
      <c r="BH926" s="147"/>
      <c r="BI926" s="147"/>
      <c r="BJ926" s="147"/>
      <c r="BK926" s="147"/>
      <c r="BL926" s="147"/>
      <c r="BM926" s="147"/>
      <c r="BN926" s="147"/>
      <c r="BO926" s="147"/>
      <c r="BP926" s="147"/>
      <c r="BQ926" s="147"/>
      <c r="BR926" s="147"/>
      <c r="BS926" s="147"/>
      <c r="BT926" s="147"/>
      <c r="BU926" s="147"/>
      <c r="BV926" s="147"/>
      <c r="BW926" s="147"/>
      <c r="BX926" s="147"/>
      <c r="BY926" s="147"/>
      <c r="BZ926" s="147"/>
      <c r="CA926" s="147"/>
      <c r="CB926" s="147"/>
      <c r="CC926" s="147"/>
      <c r="CD926" s="147"/>
      <c r="CE926" s="147"/>
      <c r="CF926" s="147"/>
      <c r="CG926" s="147"/>
      <c r="CH926" s="147"/>
      <c r="CI926" s="147"/>
      <c r="CJ926" s="147"/>
      <c r="CK926" s="147"/>
    </row>
    <row r="927" spans="1:89">
      <c r="A927" s="147"/>
      <c r="B927" s="147"/>
      <c r="C927" s="147"/>
      <c r="D927" s="147"/>
      <c r="E927" s="147"/>
      <c r="F927" s="147"/>
      <c r="G927" s="147"/>
      <c r="H927" s="147"/>
      <c r="I927" s="147"/>
      <c r="J927" s="147"/>
      <c r="K927" s="147"/>
      <c r="L927" s="147"/>
      <c r="M927" s="147"/>
      <c r="N927" s="147"/>
      <c r="O927" s="158"/>
      <c r="P927" s="147"/>
      <c r="Q927" s="147"/>
      <c r="R927" s="147"/>
      <c r="S927" s="147"/>
      <c r="T927" s="147"/>
      <c r="U927" s="147"/>
      <c r="V927" s="147"/>
      <c r="W927" s="147"/>
      <c r="X927" s="147"/>
      <c r="Y927" s="147"/>
      <c r="Z927" s="147"/>
      <c r="AA927" s="147"/>
      <c r="AB927" s="147"/>
      <c r="AC927" s="147"/>
      <c r="AD927" s="147"/>
      <c r="AE927" s="147"/>
      <c r="AF927" s="147"/>
      <c r="AG927" s="147"/>
      <c r="AH927" s="147"/>
      <c r="AI927" s="147"/>
      <c r="AJ927" s="147"/>
      <c r="AK927" s="147"/>
      <c r="AL927" s="147"/>
      <c r="AM927" s="147"/>
      <c r="AN927" s="147"/>
      <c r="AO927" s="147"/>
      <c r="AP927" s="147"/>
      <c r="AQ927" s="147"/>
      <c r="AR927" s="147"/>
      <c r="AS927" s="147"/>
      <c r="AT927" s="147"/>
      <c r="AU927" s="147"/>
      <c r="AV927" s="147"/>
      <c r="AW927" s="147"/>
      <c r="AX927" s="147"/>
      <c r="AY927" s="147"/>
      <c r="AZ927" s="147"/>
      <c r="BA927" s="147"/>
      <c r="BB927" s="147"/>
      <c r="BC927" s="147"/>
      <c r="BD927" s="147"/>
      <c r="BE927" s="147"/>
      <c r="BF927" s="147"/>
      <c r="BG927" s="147"/>
      <c r="BH927" s="147"/>
      <c r="BI927" s="147"/>
      <c r="BJ927" s="147"/>
      <c r="BK927" s="147"/>
      <c r="BL927" s="147"/>
      <c r="BM927" s="147"/>
      <c r="BN927" s="147"/>
      <c r="BO927" s="147"/>
      <c r="BP927" s="147"/>
      <c r="BQ927" s="147"/>
      <c r="BR927" s="147"/>
      <c r="BS927" s="147"/>
      <c r="BT927" s="147"/>
      <c r="BU927" s="147"/>
      <c r="BV927" s="147"/>
      <c r="BW927" s="147"/>
      <c r="BX927" s="147"/>
      <c r="BY927" s="147"/>
      <c r="BZ927" s="147"/>
      <c r="CA927" s="147"/>
      <c r="CB927" s="147"/>
      <c r="CC927" s="147"/>
      <c r="CD927" s="147"/>
      <c r="CE927" s="147"/>
      <c r="CF927" s="147"/>
      <c r="CG927" s="147"/>
      <c r="CH927" s="147"/>
      <c r="CI927" s="147"/>
      <c r="CJ927" s="147"/>
      <c r="CK927" s="147"/>
    </row>
    <row r="928" spans="1:89">
      <c r="A928" s="147"/>
      <c r="B928" s="147"/>
      <c r="C928" s="147"/>
      <c r="D928" s="147"/>
      <c r="E928" s="147"/>
      <c r="F928" s="147"/>
      <c r="G928" s="147"/>
      <c r="H928" s="147"/>
      <c r="I928" s="147"/>
      <c r="J928" s="147"/>
      <c r="K928" s="147"/>
      <c r="L928" s="147"/>
      <c r="M928" s="147"/>
      <c r="N928" s="147"/>
      <c r="O928" s="158"/>
      <c r="P928" s="147"/>
      <c r="Q928" s="147"/>
      <c r="R928" s="147"/>
      <c r="S928" s="147"/>
      <c r="T928" s="147"/>
      <c r="U928" s="147"/>
      <c r="V928" s="147"/>
      <c r="W928" s="147"/>
      <c r="X928" s="147"/>
      <c r="Y928" s="147"/>
      <c r="Z928" s="147"/>
      <c r="AA928" s="147"/>
      <c r="AB928" s="147"/>
      <c r="AC928" s="147"/>
      <c r="AD928" s="147"/>
      <c r="AE928" s="147"/>
      <c r="AF928" s="147"/>
      <c r="AG928" s="147"/>
      <c r="AH928" s="147"/>
      <c r="AI928" s="147"/>
      <c r="AJ928" s="147"/>
      <c r="AK928" s="147"/>
      <c r="AL928" s="147"/>
      <c r="AM928" s="147"/>
      <c r="AN928" s="147"/>
      <c r="AO928" s="147"/>
      <c r="AP928" s="147"/>
      <c r="AQ928" s="147"/>
      <c r="AR928" s="147"/>
      <c r="AS928" s="147"/>
      <c r="AT928" s="147"/>
      <c r="AU928" s="147"/>
      <c r="AV928" s="147"/>
      <c r="AW928" s="147"/>
      <c r="AX928" s="147"/>
      <c r="AY928" s="147"/>
      <c r="AZ928" s="147"/>
      <c r="BA928" s="147"/>
      <c r="BB928" s="147"/>
      <c r="BC928" s="147"/>
      <c r="BD928" s="147"/>
      <c r="BE928" s="147"/>
      <c r="BF928" s="147"/>
      <c r="BG928" s="147"/>
      <c r="BH928" s="147"/>
      <c r="BI928" s="147"/>
      <c r="BJ928" s="147"/>
      <c r="BK928" s="147"/>
      <c r="BL928" s="147"/>
      <c r="BM928" s="147"/>
      <c r="BN928" s="147"/>
      <c r="BO928" s="147"/>
      <c r="BP928" s="147"/>
      <c r="BQ928" s="147"/>
      <c r="BR928" s="147"/>
      <c r="BS928" s="147"/>
      <c r="BT928" s="147"/>
      <c r="BU928" s="147"/>
      <c r="BV928" s="147"/>
      <c r="BW928" s="147"/>
      <c r="BX928" s="147"/>
      <c r="BY928" s="147"/>
      <c r="BZ928" s="147"/>
      <c r="CA928" s="147"/>
      <c r="CB928" s="147"/>
      <c r="CC928" s="147"/>
      <c r="CD928" s="147"/>
      <c r="CE928" s="147"/>
      <c r="CF928" s="147"/>
      <c r="CG928" s="147"/>
      <c r="CH928" s="147"/>
      <c r="CI928" s="147"/>
      <c r="CJ928" s="147"/>
      <c r="CK928" s="147"/>
    </row>
    <row r="929" spans="1:89">
      <c r="A929" s="147"/>
      <c r="B929" s="147"/>
      <c r="C929" s="147"/>
      <c r="D929" s="147"/>
      <c r="E929" s="147"/>
      <c r="F929" s="147"/>
      <c r="G929" s="147"/>
      <c r="H929" s="147"/>
      <c r="I929" s="147"/>
      <c r="J929" s="147"/>
      <c r="K929" s="147"/>
      <c r="L929" s="147"/>
      <c r="M929" s="147"/>
      <c r="N929" s="147"/>
      <c r="O929" s="158"/>
      <c r="P929" s="147"/>
      <c r="Q929" s="147"/>
      <c r="R929" s="147"/>
      <c r="S929" s="147"/>
      <c r="T929" s="147"/>
      <c r="U929" s="147"/>
      <c r="V929" s="147"/>
      <c r="W929" s="147"/>
      <c r="X929" s="147"/>
      <c r="Y929" s="147"/>
      <c r="Z929" s="147"/>
      <c r="AA929" s="147"/>
      <c r="AB929" s="147"/>
      <c r="AC929" s="147"/>
      <c r="AD929" s="147"/>
      <c r="AE929" s="147"/>
      <c r="AF929" s="147"/>
      <c r="AG929" s="147"/>
      <c r="AH929" s="147"/>
      <c r="AI929" s="147"/>
      <c r="AJ929" s="147"/>
      <c r="AK929" s="147"/>
      <c r="AL929" s="147"/>
      <c r="AM929" s="147"/>
      <c r="AN929" s="147"/>
      <c r="AO929" s="147"/>
      <c r="AP929" s="147"/>
      <c r="AQ929" s="147"/>
      <c r="AR929" s="147"/>
      <c r="AS929" s="147"/>
      <c r="AT929" s="147"/>
      <c r="AU929" s="147"/>
      <c r="AV929" s="147"/>
      <c r="AW929" s="147"/>
      <c r="AX929" s="147"/>
      <c r="AY929" s="147"/>
      <c r="AZ929" s="147"/>
      <c r="BA929" s="147"/>
      <c r="BB929" s="147"/>
      <c r="BC929" s="147"/>
      <c r="BD929" s="147"/>
      <c r="BE929" s="147"/>
      <c r="BF929" s="147"/>
      <c r="BG929" s="147"/>
      <c r="BH929" s="147"/>
      <c r="BI929" s="147"/>
      <c r="BJ929" s="147"/>
      <c r="BK929" s="147"/>
      <c r="BL929" s="147"/>
      <c r="BM929" s="147"/>
      <c r="BN929" s="147"/>
      <c r="BO929" s="147"/>
      <c r="BP929" s="147"/>
      <c r="BQ929" s="147"/>
      <c r="BR929" s="147"/>
      <c r="BS929" s="147"/>
      <c r="BT929" s="147"/>
      <c r="BU929" s="147"/>
      <c r="BV929" s="147"/>
      <c r="BW929" s="147"/>
      <c r="BX929" s="147"/>
      <c r="BY929" s="147"/>
      <c r="BZ929" s="147"/>
      <c r="CA929" s="147"/>
      <c r="CB929" s="147"/>
      <c r="CC929" s="147"/>
      <c r="CD929" s="147"/>
      <c r="CE929" s="147"/>
      <c r="CF929" s="147"/>
      <c r="CG929" s="147"/>
      <c r="CH929" s="147"/>
      <c r="CI929" s="147"/>
      <c r="CJ929" s="147"/>
      <c r="CK929" s="147"/>
    </row>
    <row r="930" spans="1:89">
      <c r="A930" s="147"/>
      <c r="B930" s="147"/>
      <c r="C930" s="147"/>
      <c r="D930" s="147"/>
      <c r="E930" s="147"/>
      <c r="F930" s="147"/>
      <c r="G930" s="147"/>
      <c r="H930" s="147"/>
      <c r="I930" s="147"/>
      <c r="J930" s="147"/>
      <c r="K930" s="147"/>
      <c r="L930" s="147"/>
      <c r="M930" s="147"/>
      <c r="N930" s="147"/>
      <c r="O930" s="158"/>
      <c r="P930" s="147"/>
      <c r="Q930" s="147"/>
      <c r="R930" s="147"/>
      <c r="S930" s="147"/>
      <c r="T930" s="147"/>
      <c r="U930" s="147"/>
      <c r="V930" s="147"/>
      <c r="W930" s="147"/>
      <c r="X930" s="147"/>
      <c r="Y930" s="147"/>
      <c r="Z930" s="147"/>
      <c r="AA930" s="147"/>
      <c r="AB930" s="147"/>
      <c r="AC930" s="147"/>
      <c r="AD930" s="147"/>
      <c r="AE930" s="147"/>
      <c r="AF930" s="147"/>
      <c r="AG930" s="147"/>
      <c r="AH930" s="147"/>
      <c r="AI930" s="147"/>
      <c r="AJ930" s="147"/>
      <c r="AK930" s="147"/>
      <c r="AL930" s="147"/>
      <c r="AM930" s="147"/>
      <c r="AN930" s="147"/>
      <c r="AO930" s="147"/>
      <c r="AP930" s="147"/>
      <c r="AQ930" s="147"/>
      <c r="AR930" s="147"/>
      <c r="AS930" s="147"/>
      <c r="AT930" s="147"/>
      <c r="AU930" s="147"/>
      <c r="AV930" s="147"/>
      <c r="AW930" s="147"/>
      <c r="AX930" s="147"/>
      <c r="AY930" s="147"/>
      <c r="AZ930" s="147"/>
      <c r="BA930" s="147"/>
      <c r="BB930" s="147"/>
      <c r="BC930" s="147"/>
      <c r="BD930" s="147"/>
      <c r="BE930" s="147"/>
      <c r="BF930" s="147"/>
      <c r="BG930" s="147"/>
      <c r="BH930" s="147"/>
      <c r="BI930" s="147"/>
      <c r="BJ930" s="147"/>
      <c r="BK930" s="147"/>
      <c r="BL930" s="147"/>
      <c r="BM930" s="147"/>
      <c r="BN930" s="147"/>
      <c r="BO930" s="147"/>
      <c r="BP930" s="147"/>
      <c r="BQ930" s="147"/>
      <c r="BR930" s="147"/>
      <c r="BS930" s="147"/>
      <c r="BT930" s="147"/>
      <c r="BU930" s="147"/>
      <c r="BV930" s="147"/>
      <c r="BW930" s="147"/>
      <c r="BX930" s="147"/>
      <c r="BY930" s="147"/>
      <c r="BZ930" s="147"/>
      <c r="CA930" s="147"/>
      <c r="CB930" s="147"/>
      <c r="CC930" s="147"/>
      <c r="CD930" s="147"/>
      <c r="CE930" s="147"/>
      <c r="CF930" s="147"/>
      <c r="CG930" s="147"/>
      <c r="CH930" s="147"/>
      <c r="CI930" s="147"/>
      <c r="CJ930" s="147"/>
      <c r="CK930" s="147"/>
    </row>
    <row r="931" spans="1:89">
      <c r="A931" s="147"/>
      <c r="B931" s="147"/>
      <c r="C931" s="147"/>
      <c r="D931" s="147"/>
      <c r="E931" s="147"/>
      <c r="F931" s="147"/>
      <c r="G931" s="147"/>
      <c r="H931" s="147"/>
      <c r="I931" s="147"/>
      <c r="J931" s="147"/>
      <c r="K931" s="147"/>
      <c r="L931" s="147"/>
      <c r="M931" s="147"/>
      <c r="N931" s="147"/>
      <c r="O931" s="158"/>
      <c r="P931" s="147"/>
      <c r="Q931" s="147"/>
      <c r="R931" s="147"/>
      <c r="S931" s="147"/>
      <c r="T931" s="147"/>
      <c r="U931" s="147"/>
      <c r="V931" s="147"/>
      <c r="W931" s="147"/>
      <c r="X931" s="147"/>
      <c r="Y931" s="147"/>
      <c r="Z931" s="147"/>
      <c r="AA931" s="147"/>
      <c r="AB931" s="147"/>
      <c r="AC931" s="147"/>
      <c r="AD931" s="147"/>
      <c r="AE931" s="147"/>
      <c r="AF931" s="147"/>
      <c r="AG931" s="147"/>
      <c r="AH931" s="147"/>
      <c r="AI931" s="147"/>
      <c r="AJ931" s="147"/>
      <c r="AK931" s="147"/>
      <c r="AL931" s="147"/>
      <c r="AM931" s="147"/>
      <c r="AN931" s="147"/>
      <c r="AO931" s="147"/>
      <c r="AP931" s="147"/>
      <c r="AQ931" s="147"/>
      <c r="AR931" s="147"/>
      <c r="AS931" s="147"/>
      <c r="AT931" s="147"/>
      <c r="AU931" s="147"/>
      <c r="AV931" s="147"/>
      <c r="AW931" s="147"/>
      <c r="AX931" s="147"/>
      <c r="AY931" s="147"/>
      <c r="AZ931" s="147"/>
      <c r="BA931" s="147"/>
      <c r="BB931" s="147"/>
      <c r="BC931" s="147"/>
      <c r="BD931" s="147"/>
      <c r="BE931" s="147"/>
      <c r="BF931" s="147"/>
      <c r="BG931" s="147"/>
      <c r="BH931" s="147"/>
      <c r="BI931" s="147"/>
      <c r="BJ931" s="147"/>
      <c r="BK931" s="147"/>
      <c r="BL931" s="147"/>
      <c r="BM931" s="147"/>
      <c r="BN931" s="147"/>
      <c r="BO931" s="147"/>
      <c r="BP931" s="147"/>
      <c r="BQ931" s="147"/>
      <c r="BR931" s="147"/>
      <c r="BS931" s="147"/>
      <c r="BT931" s="147"/>
      <c r="BU931" s="147"/>
      <c r="BV931" s="147"/>
      <c r="BW931" s="147"/>
      <c r="BX931" s="147"/>
      <c r="BY931" s="147"/>
      <c r="BZ931" s="147"/>
      <c r="CA931" s="147"/>
      <c r="CB931" s="147"/>
      <c r="CC931" s="147"/>
      <c r="CD931" s="147"/>
      <c r="CE931" s="147"/>
      <c r="CF931" s="147"/>
      <c r="CG931" s="147"/>
      <c r="CH931" s="147"/>
      <c r="CI931" s="147"/>
      <c r="CJ931" s="147"/>
      <c r="CK931" s="147"/>
    </row>
    <row r="932" spans="1:89">
      <c r="A932" s="147"/>
      <c r="B932" s="147"/>
      <c r="C932" s="147"/>
      <c r="D932" s="147"/>
      <c r="E932" s="147"/>
      <c r="F932" s="147"/>
      <c r="G932" s="147"/>
      <c r="H932" s="147"/>
      <c r="I932" s="147"/>
      <c r="J932" s="147"/>
      <c r="K932" s="147"/>
      <c r="L932" s="147"/>
      <c r="M932" s="147"/>
      <c r="N932" s="147"/>
      <c r="O932" s="158"/>
      <c r="P932" s="147"/>
      <c r="Q932" s="147"/>
      <c r="R932" s="147"/>
      <c r="S932" s="147"/>
      <c r="T932" s="147"/>
      <c r="U932" s="147"/>
      <c r="V932" s="147"/>
      <c r="W932" s="147"/>
      <c r="X932" s="147"/>
      <c r="Y932" s="147"/>
      <c r="Z932" s="147"/>
      <c r="AA932" s="147"/>
      <c r="AB932" s="147"/>
      <c r="AC932" s="147"/>
      <c r="AD932" s="147"/>
      <c r="AE932" s="147"/>
      <c r="AF932" s="147"/>
      <c r="AG932" s="147"/>
      <c r="AH932" s="147"/>
      <c r="AI932" s="147"/>
      <c r="AJ932" s="147"/>
      <c r="AK932" s="147"/>
      <c r="AL932" s="147"/>
      <c r="AM932" s="147"/>
      <c r="AN932" s="147"/>
      <c r="AO932" s="147"/>
      <c r="AP932" s="147"/>
      <c r="AQ932" s="147"/>
      <c r="AR932" s="147"/>
      <c r="AS932" s="147"/>
      <c r="AT932" s="147"/>
      <c r="AU932" s="147"/>
      <c r="AV932" s="147"/>
      <c r="AW932" s="147"/>
      <c r="AX932" s="147"/>
      <c r="AY932" s="147"/>
      <c r="AZ932" s="147"/>
      <c r="BA932" s="147"/>
      <c r="BB932" s="147"/>
      <c r="BC932" s="147"/>
      <c r="BD932" s="147"/>
      <c r="BE932" s="147"/>
      <c r="BF932" s="147"/>
      <c r="BG932" s="147"/>
      <c r="BH932" s="147"/>
      <c r="BI932" s="147"/>
      <c r="BJ932" s="147"/>
      <c r="BK932" s="147"/>
      <c r="BL932" s="147"/>
      <c r="BM932" s="147"/>
      <c r="BN932" s="147"/>
      <c r="BO932" s="147"/>
      <c r="BP932" s="147"/>
      <c r="BQ932" s="147"/>
      <c r="BR932" s="147"/>
      <c r="BS932" s="147"/>
      <c r="BT932" s="147"/>
      <c r="BU932" s="147"/>
      <c r="BV932" s="147"/>
      <c r="BW932" s="147"/>
      <c r="BX932" s="147"/>
      <c r="BY932" s="147"/>
      <c r="BZ932" s="147"/>
      <c r="CA932" s="147"/>
      <c r="CB932" s="147"/>
      <c r="CC932" s="147"/>
      <c r="CD932" s="147"/>
      <c r="CE932" s="147"/>
      <c r="CF932" s="147"/>
      <c r="CG932" s="147"/>
      <c r="CH932" s="147"/>
      <c r="CI932" s="147"/>
      <c r="CJ932" s="147"/>
      <c r="CK932" s="147"/>
    </row>
    <row r="933" spans="1:89">
      <c r="A933" s="147"/>
      <c r="B933" s="147"/>
      <c r="C933" s="147"/>
      <c r="D933" s="147"/>
      <c r="E933" s="147"/>
      <c r="F933" s="147"/>
      <c r="G933" s="147"/>
      <c r="H933" s="147"/>
      <c r="I933" s="147"/>
      <c r="J933" s="147"/>
      <c r="K933" s="147"/>
      <c r="L933" s="147"/>
      <c r="M933" s="147"/>
      <c r="N933" s="147"/>
      <c r="O933" s="158"/>
      <c r="P933" s="147"/>
      <c r="Q933" s="147"/>
      <c r="R933" s="147"/>
      <c r="S933" s="147"/>
      <c r="T933" s="147"/>
      <c r="U933" s="147"/>
      <c r="V933" s="147"/>
      <c r="W933" s="147"/>
      <c r="X933" s="147"/>
      <c r="Y933" s="147"/>
      <c r="Z933" s="147"/>
      <c r="AA933" s="147"/>
      <c r="AB933" s="147"/>
      <c r="AC933" s="147"/>
      <c r="AD933" s="147"/>
      <c r="AE933" s="147"/>
      <c r="AF933" s="147"/>
      <c r="AG933" s="147"/>
      <c r="AH933" s="147"/>
      <c r="AI933" s="147"/>
      <c r="AJ933" s="147"/>
      <c r="AK933" s="147"/>
      <c r="AL933" s="147"/>
      <c r="AM933" s="147"/>
      <c r="AN933" s="147"/>
      <c r="AO933" s="147"/>
      <c r="AP933" s="147"/>
      <c r="AQ933" s="147"/>
      <c r="AR933" s="147"/>
      <c r="AS933" s="147"/>
      <c r="AT933" s="147"/>
      <c r="AU933" s="147"/>
      <c r="AV933" s="147"/>
      <c r="AW933" s="147"/>
      <c r="AX933" s="147"/>
      <c r="AY933" s="147"/>
      <c r="AZ933" s="147"/>
      <c r="BA933" s="147"/>
      <c r="BB933" s="147"/>
      <c r="BC933" s="147"/>
      <c r="BD933" s="147"/>
      <c r="BE933" s="147"/>
      <c r="BF933" s="147"/>
      <c r="BG933" s="147"/>
      <c r="BH933" s="147"/>
      <c r="BI933" s="147"/>
      <c r="BJ933" s="147"/>
      <c r="BK933" s="147"/>
      <c r="BL933" s="147"/>
      <c r="BM933" s="147"/>
      <c r="BN933" s="147"/>
      <c r="BO933" s="147"/>
      <c r="BP933" s="147"/>
      <c r="BQ933" s="147"/>
      <c r="BR933" s="147"/>
      <c r="BS933" s="147"/>
      <c r="BT933" s="147"/>
      <c r="BU933" s="147"/>
      <c r="BV933" s="147"/>
      <c r="BW933" s="147"/>
      <c r="BX933" s="147"/>
      <c r="BY933" s="147"/>
      <c r="BZ933" s="147"/>
      <c r="CA933" s="147"/>
      <c r="CB933" s="147"/>
      <c r="CC933" s="147"/>
      <c r="CD933" s="147"/>
      <c r="CE933" s="147"/>
      <c r="CF933" s="147"/>
      <c r="CG933" s="147"/>
      <c r="CH933" s="147"/>
      <c r="CI933" s="147"/>
      <c r="CJ933" s="147"/>
      <c r="CK933" s="147"/>
    </row>
    <row r="934" spans="1:89">
      <c r="A934" s="147"/>
      <c r="B934" s="147"/>
      <c r="C934" s="147"/>
      <c r="D934" s="147"/>
      <c r="E934" s="147"/>
      <c r="F934" s="147"/>
      <c r="G934" s="147"/>
      <c r="H934" s="147"/>
      <c r="I934" s="147"/>
      <c r="J934" s="147"/>
      <c r="K934" s="147"/>
      <c r="L934" s="147"/>
      <c r="M934" s="147"/>
      <c r="N934" s="147"/>
      <c r="O934" s="158"/>
      <c r="P934" s="147"/>
      <c r="Q934" s="147"/>
      <c r="R934" s="147"/>
      <c r="S934" s="147"/>
      <c r="T934" s="147"/>
      <c r="U934" s="147"/>
      <c r="V934" s="147"/>
      <c r="W934" s="147"/>
      <c r="X934" s="147"/>
      <c r="Y934" s="147"/>
      <c r="Z934" s="147"/>
      <c r="AA934" s="147"/>
      <c r="AB934" s="147"/>
      <c r="AC934" s="147"/>
      <c r="AD934" s="147"/>
      <c r="AE934" s="147"/>
      <c r="AF934" s="147"/>
      <c r="AG934" s="147"/>
      <c r="AH934" s="147"/>
      <c r="AI934" s="147"/>
      <c r="AJ934" s="147"/>
      <c r="AK934" s="147"/>
      <c r="AL934" s="147"/>
      <c r="AM934" s="147"/>
      <c r="AN934" s="147"/>
      <c r="AO934" s="147"/>
      <c r="AP934" s="147"/>
      <c r="AQ934" s="147"/>
      <c r="AR934" s="147"/>
      <c r="AS934" s="147"/>
      <c r="AT934" s="147"/>
      <c r="AU934" s="147"/>
      <c r="AV934" s="147"/>
      <c r="AW934" s="147"/>
      <c r="AX934" s="147"/>
      <c r="AY934" s="147"/>
      <c r="AZ934" s="147"/>
      <c r="BA934" s="147"/>
      <c r="BB934" s="147"/>
      <c r="BC934" s="147"/>
      <c r="BD934" s="147"/>
      <c r="BE934" s="147"/>
      <c r="BF934" s="147"/>
      <c r="BG934" s="147"/>
      <c r="BH934" s="147"/>
      <c r="BI934" s="147"/>
      <c r="BJ934" s="147"/>
      <c r="BK934" s="147"/>
      <c r="BL934" s="147"/>
      <c r="BM934" s="147"/>
      <c r="BN934" s="147"/>
      <c r="BO934" s="147"/>
      <c r="BP934" s="147"/>
      <c r="BQ934" s="147"/>
      <c r="BR934" s="147"/>
      <c r="BS934" s="147"/>
      <c r="BT934" s="147"/>
      <c r="BU934" s="147"/>
      <c r="BV934" s="147"/>
      <c r="BW934" s="147"/>
      <c r="BX934" s="147"/>
      <c r="BY934" s="147"/>
      <c r="BZ934" s="147"/>
      <c r="CA934" s="147"/>
      <c r="CB934" s="147"/>
      <c r="CC934" s="147"/>
      <c r="CD934" s="147"/>
      <c r="CE934" s="147"/>
      <c r="CF934" s="147"/>
      <c r="CG934" s="147"/>
      <c r="CH934" s="147"/>
      <c r="CI934" s="147"/>
      <c r="CJ934" s="147"/>
      <c r="CK934" s="147"/>
    </row>
    <row r="935" spans="1:89">
      <c r="A935" s="147"/>
      <c r="B935" s="147"/>
      <c r="C935" s="147"/>
      <c r="D935" s="147"/>
      <c r="E935" s="147"/>
      <c r="F935" s="147"/>
      <c r="G935" s="147"/>
      <c r="H935" s="147"/>
      <c r="I935" s="147"/>
      <c r="J935" s="147"/>
      <c r="K935" s="147"/>
      <c r="L935" s="147"/>
      <c r="M935" s="147"/>
      <c r="N935" s="147"/>
      <c r="O935" s="158"/>
      <c r="P935" s="147"/>
      <c r="Q935" s="147"/>
      <c r="R935" s="147"/>
      <c r="S935" s="147"/>
      <c r="T935" s="147"/>
      <c r="U935" s="147"/>
      <c r="V935" s="147"/>
      <c r="W935" s="147"/>
      <c r="X935" s="147"/>
      <c r="Y935" s="147"/>
      <c r="Z935" s="147"/>
      <c r="AA935" s="147"/>
      <c r="AB935" s="147"/>
      <c r="AC935" s="147"/>
      <c r="AD935" s="147"/>
      <c r="AE935" s="147"/>
      <c r="AF935" s="147"/>
      <c r="AG935" s="147"/>
      <c r="AH935" s="147"/>
      <c r="AI935" s="147"/>
      <c r="AJ935" s="147"/>
      <c r="AK935" s="147"/>
      <c r="AL935" s="147"/>
      <c r="AM935" s="147"/>
      <c r="AN935" s="147"/>
      <c r="AO935" s="147"/>
      <c r="AP935" s="147"/>
      <c r="AQ935" s="147"/>
      <c r="AR935" s="147"/>
      <c r="AS935" s="147"/>
      <c r="AT935" s="147"/>
      <c r="AU935" s="147"/>
      <c r="AV935" s="147"/>
      <c r="AW935" s="147"/>
      <c r="AX935" s="147"/>
      <c r="AY935" s="147"/>
      <c r="AZ935" s="147"/>
      <c r="BA935" s="147"/>
      <c r="BB935" s="147"/>
      <c r="BC935" s="147"/>
      <c r="BD935" s="147"/>
      <c r="BE935" s="147"/>
      <c r="BF935" s="147"/>
      <c r="BG935" s="147"/>
      <c r="BH935" s="147"/>
      <c r="BI935" s="147"/>
      <c r="BJ935" s="147"/>
      <c r="BK935" s="147"/>
      <c r="BL935" s="147"/>
      <c r="BM935" s="147"/>
      <c r="BN935" s="147"/>
      <c r="BO935" s="147"/>
      <c r="BP935" s="147"/>
      <c r="BQ935" s="147"/>
      <c r="BR935" s="147"/>
      <c r="BS935" s="147"/>
      <c r="BT935" s="147"/>
      <c r="BU935" s="147"/>
      <c r="BV935" s="147"/>
      <c r="BW935" s="147"/>
      <c r="BX935" s="147"/>
      <c r="BY935" s="147"/>
      <c r="BZ935" s="147"/>
      <c r="CA935" s="147"/>
      <c r="CB935" s="147"/>
      <c r="CC935" s="147"/>
      <c r="CD935" s="147"/>
      <c r="CE935" s="147"/>
      <c r="CF935" s="147"/>
      <c r="CG935" s="147"/>
      <c r="CH935" s="147"/>
      <c r="CI935" s="147"/>
      <c r="CJ935" s="147"/>
      <c r="CK935" s="147"/>
    </row>
    <row r="936" spans="1:89">
      <c r="A936" s="147"/>
      <c r="B936" s="147"/>
      <c r="C936" s="147"/>
      <c r="D936" s="147"/>
      <c r="E936" s="147"/>
      <c r="F936" s="147"/>
      <c r="G936" s="147"/>
      <c r="H936" s="147"/>
      <c r="I936" s="147"/>
      <c r="J936" s="147"/>
      <c r="K936" s="147"/>
      <c r="L936" s="147"/>
      <c r="M936" s="147"/>
      <c r="N936" s="147"/>
      <c r="O936" s="158"/>
      <c r="P936" s="147"/>
      <c r="Q936" s="147"/>
      <c r="R936" s="147"/>
      <c r="S936" s="147"/>
      <c r="T936" s="147"/>
      <c r="U936" s="147"/>
      <c r="V936" s="147"/>
      <c r="W936" s="147"/>
      <c r="X936" s="147"/>
      <c r="Y936" s="147"/>
      <c r="Z936" s="147"/>
      <c r="AA936" s="147"/>
      <c r="AB936" s="147"/>
      <c r="AC936" s="147"/>
      <c r="AD936" s="147"/>
      <c r="AE936" s="147"/>
      <c r="AF936" s="147"/>
      <c r="AG936" s="147"/>
      <c r="AH936" s="147"/>
      <c r="AI936" s="147"/>
      <c r="AJ936" s="147"/>
      <c r="AK936" s="147"/>
      <c r="AL936" s="147"/>
      <c r="AM936" s="147"/>
      <c r="AN936" s="147"/>
      <c r="AO936" s="147"/>
      <c r="AP936" s="147"/>
      <c r="AQ936" s="147"/>
      <c r="AR936" s="147"/>
      <c r="AS936" s="147"/>
      <c r="AT936" s="147"/>
      <c r="AU936" s="147"/>
      <c r="AV936" s="147"/>
      <c r="AW936" s="147"/>
      <c r="AX936" s="147"/>
      <c r="AY936" s="147"/>
      <c r="AZ936" s="147"/>
      <c r="BA936" s="147"/>
      <c r="BB936" s="147"/>
      <c r="BC936" s="147"/>
      <c r="BD936" s="147"/>
      <c r="BE936" s="147"/>
      <c r="BF936" s="147"/>
      <c r="BG936" s="147"/>
      <c r="BH936" s="147"/>
      <c r="BI936" s="147"/>
      <c r="BJ936" s="147"/>
      <c r="BK936" s="147"/>
      <c r="BL936" s="147"/>
      <c r="BM936" s="147"/>
      <c r="BN936" s="147"/>
      <c r="BO936" s="147"/>
      <c r="BP936" s="147"/>
      <c r="BQ936" s="147"/>
      <c r="BR936" s="147"/>
      <c r="BS936" s="147"/>
      <c r="BT936" s="147"/>
      <c r="BU936" s="147"/>
      <c r="BV936" s="147"/>
      <c r="BW936" s="147"/>
      <c r="BX936" s="147"/>
      <c r="BY936" s="147"/>
      <c r="BZ936" s="147"/>
      <c r="CA936" s="147"/>
      <c r="CB936" s="147"/>
      <c r="CC936" s="147"/>
      <c r="CD936" s="147"/>
      <c r="CE936" s="147"/>
      <c r="CF936" s="147"/>
      <c r="CG936" s="147"/>
      <c r="CH936" s="147"/>
      <c r="CI936" s="147"/>
      <c r="CJ936" s="147"/>
      <c r="CK936" s="147"/>
    </row>
    <row r="937" spans="1:89">
      <c r="A937" s="147"/>
      <c r="B937" s="147"/>
      <c r="C937" s="147"/>
      <c r="D937" s="147"/>
      <c r="E937" s="147"/>
      <c r="F937" s="147"/>
      <c r="G937" s="147"/>
      <c r="H937" s="147"/>
      <c r="I937" s="147"/>
      <c r="J937" s="147"/>
      <c r="K937" s="147"/>
      <c r="L937" s="147"/>
      <c r="M937" s="147"/>
      <c r="N937" s="147"/>
      <c r="O937" s="158"/>
      <c r="P937" s="147"/>
      <c r="Q937" s="147"/>
      <c r="R937" s="147"/>
      <c r="S937" s="147"/>
      <c r="T937" s="147"/>
      <c r="U937" s="147"/>
      <c r="V937" s="147"/>
      <c r="W937" s="147"/>
      <c r="X937" s="147"/>
      <c r="Y937" s="147"/>
      <c r="Z937" s="147"/>
      <c r="AA937" s="147"/>
      <c r="AB937" s="147"/>
      <c r="AC937" s="147"/>
      <c r="AD937" s="147"/>
      <c r="AE937" s="147"/>
      <c r="AF937" s="147"/>
      <c r="AG937" s="147"/>
      <c r="AH937" s="147"/>
      <c r="AI937" s="147"/>
      <c r="AJ937" s="147"/>
      <c r="AK937" s="147"/>
      <c r="AL937" s="147"/>
      <c r="AM937" s="147"/>
      <c r="AN937" s="147"/>
      <c r="AO937" s="147"/>
      <c r="AP937" s="147"/>
      <c r="AQ937" s="147"/>
      <c r="AR937" s="147"/>
      <c r="AS937" s="147"/>
      <c r="AT937" s="147"/>
      <c r="AU937" s="147"/>
      <c r="AV937" s="147"/>
      <c r="AW937" s="147"/>
      <c r="AX937" s="147"/>
      <c r="AY937" s="147"/>
      <c r="AZ937" s="147"/>
      <c r="BA937" s="147"/>
      <c r="BB937" s="147"/>
      <c r="BC937" s="147"/>
      <c r="BD937" s="147"/>
      <c r="BE937" s="147"/>
      <c r="BF937" s="147"/>
      <c r="BG937" s="147"/>
      <c r="BH937" s="147"/>
      <c r="BI937" s="147"/>
      <c r="BJ937" s="147"/>
      <c r="BK937" s="147"/>
      <c r="BL937" s="147"/>
      <c r="BM937" s="147"/>
      <c r="BN937" s="147"/>
      <c r="BO937" s="147"/>
      <c r="BP937" s="147"/>
      <c r="BQ937" s="147"/>
      <c r="BR937" s="147"/>
      <c r="BS937" s="147"/>
      <c r="BT937" s="147"/>
      <c r="BU937" s="147"/>
      <c r="BV937" s="147"/>
      <c r="BW937" s="147"/>
      <c r="BX937" s="147"/>
      <c r="BY937" s="147"/>
      <c r="BZ937" s="147"/>
      <c r="CA937" s="147"/>
      <c r="CB937" s="147"/>
      <c r="CC937" s="147"/>
      <c r="CD937" s="147"/>
      <c r="CE937" s="147"/>
      <c r="CF937" s="147"/>
      <c r="CG937" s="147"/>
      <c r="CH937" s="147"/>
      <c r="CI937" s="147"/>
      <c r="CJ937" s="147"/>
      <c r="CK937" s="147"/>
    </row>
    <row r="938" spans="1:89">
      <c r="A938" s="147"/>
      <c r="B938" s="147"/>
      <c r="C938" s="147"/>
      <c r="D938" s="147"/>
      <c r="E938" s="147"/>
      <c r="F938" s="147"/>
      <c r="G938" s="147"/>
      <c r="H938" s="147"/>
      <c r="I938" s="147"/>
      <c r="J938" s="147"/>
      <c r="K938" s="147"/>
      <c r="L938" s="147"/>
      <c r="M938" s="147"/>
      <c r="N938" s="147"/>
      <c r="O938" s="158"/>
      <c r="P938" s="147"/>
      <c r="Q938" s="147"/>
      <c r="R938" s="147"/>
      <c r="S938" s="147"/>
      <c r="T938" s="147"/>
      <c r="U938" s="147"/>
      <c r="V938" s="147"/>
      <c r="W938" s="147"/>
      <c r="X938" s="147"/>
      <c r="Y938" s="147"/>
      <c r="Z938" s="147"/>
      <c r="AA938" s="147"/>
      <c r="AB938" s="147"/>
      <c r="AC938" s="147"/>
      <c r="AD938" s="147"/>
      <c r="AE938" s="147"/>
      <c r="AF938" s="147"/>
      <c r="AG938" s="147"/>
      <c r="AH938" s="147"/>
      <c r="AI938" s="147"/>
      <c r="AJ938" s="147"/>
      <c r="AK938" s="147"/>
      <c r="AL938" s="147"/>
      <c r="AM938" s="147"/>
      <c r="AN938" s="147"/>
      <c r="AO938" s="147"/>
      <c r="AP938" s="147"/>
      <c r="AQ938" s="147"/>
      <c r="AR938" s="147"/>
      <c r="AS938" s="147"/>
      <c r="AT938" s="147"/>
      <c r="AU938" s="147"/>
      <c r="AV938" s="147"/>
      <c r="AW938" s="147"/>
      <c r="AX938" s="147"/>
      <c r="AY938" s="147"/>
      <c r="AZ938" s="147"/>
      <c r="BA938" s="147"/>
      <c r="BB938" s="147"/>
      <c r="BC938" s="147"/>
      <c r="BD938" s="147"/>
      <c r="BE938" s="147"/>
      <c r="BF938" s="147"/>
      <c r="BG938" s="147"/>
      <c r="BH938" s="147"/>
      <c r="BI938" s="147"/>
      <c r="BJ938" s="147"/>
      <c r="BK938" s="147"/>
      <c r="BL938" s="147"/>
      <c r="BM938" s="147"/>
      <c r="BN938" s="147"/>
      <c r="BO938" s="147"/>
      <c r="BP938" s="147"/>
      <c r="BQ938" s="147"/>
      <c r="BR938" s="147"/>
      <c r="BS938" s="147"/>
      <c r="BT938" s="147"/>
      <c r="BU938" s="147"/>
      <c r="BV938" s="147"/>
      <c r="BW938" s="147"/>
      <c r="BX938" s="147"/>
      <c r="BY938" s="147"/>
      <c r="BZ938" s="147"/>
      <c r="CA938" s="147"/>
      <c r="CB938" s="147"/>
      <c r="CC938" s="147"/>
      <c r="CD938" s="147"/>
      <c r="CE938" s="147"/>
      <c r="CF938" s="147"/>
      <c r="CG938" s="147"/>
      <c r="CH938" s="147"/>
      <c r="CI938" s="147"/>
      <c r="CJ938" s="147"/>
      <c r="CK938" s="147"/>
    </row>
    <row r="939" spans="1:89">
      <c r="A939" s="147"/>
      <c r="B939" s="147"/>
      <c r="C939" s="147"/>
      <c r="D939" s="147"/>
      <c r="E939" s="147"/>
      <c r="F939" s="147"/>
      <c r="G939" s="147"/>
      <c r="H939" s="147"/>
      <c r="I939" s="147"/>
      <c r="J939" s="147"/>
      <c r="K939" s="147"/>
      <c r="L939" s="147"/>
      <c r="M939" s="147"/>
      <c r="N939" s="147"/>
      <c r="O939" s="158"/>
      <c r="P939" s="147"/>
      <c r="Q939" s="147"/>
      <c r="R939" s="147"/>
      <c r="S939" s="147"/>
      <c r="T939" s="147"/>
      <c r="U939" s="147"/>
      <c r="V939" s="147"/>
      <c r="W939" s="147"/>
      <c r="X939" s="147"/>
      <c r="Y939" s="147"/>
      <c r="Z939" s="147"/>
      <c r="AA939" s="147"/>
      <c r="AB939" s="147"/>
      <c r="AC939" s="147"/>
      <c r="AD939" s="147"/>
      <c r="AE939" s="147"/>
      <c r="AF939" s="147"/>
      <c r="AG939" s="147"/>
      <c r="AH939" s="147"/>
      <c r="AI939" s="147"/>
      <c r="AJ939" s="147"/>
      <c r="AK939" s="147"/>
      <c r="AL939" s="147"/>
      <c r="AM939" s="147"/>
      <c r="AN939" s="147"/>
      <c r="AO939" s="147"/>
      <c r="AP939" s="147"/>
      <c r="AQ939" s="147"/>
      <c r="AR939" s="147"/>
      <c r="AS939" s="147"/>
      <c r="AT939" s="147"/>
      <c r="AU939" s="147"/>
      <c r="AV939" s="147"/>
      <c r="AW939" s="147"/>
      <c r="AX939" s="147"/>
      <c r="AY939" s="147"/>
      <c r="AZ939" s="147"/>
      <c r="BA939" s="147"/>
      <c r="BB939" s="147"/>
      <c r="BC939" s="147"/>
      <c r="BD939" s="147"/>
      <c r="BE939" s="147"/>
      <c r="BF939" s="147"/>
      <c r="BG939" s="147"/>
      <c r="BH939" s="147"/>
      <c r="BI939" s="147"/>
      <c r="BJ939" s="147"/>
      <c r="BK939" s="147"/>
      <c r="BL939" s="147"/>
      <c r="BM939" s="147"/>
      <c r="BN939" s="147"/>
      <c r="BO939" s="147"/>
      <c r="BP939" s="147"/>
      <c r="BQ939" s="147"/>
      <c r="BR939" s="147"/>
      <c r="BS939" s="147"/>
      <c r="BT939" s="147"/>
      <c r="BU939" s="147"/>
      <c r="BV939" s="147"/>
      <c r="BW939" s="147"/>
      <c r="BX939" s="147"/>
      <c r="BY939" s="147"/>
      <c r="BZ939" s="147"/>
      <c r="CA939" s="147"/>
      <c r="CB939" s="147"/>
      <c r="CC939" s="147"/>
      <c r="CD939" s="147"/>
      <c r="CE939" s="147"/>
      <c r="CF939" s="147"/>
      <c r="CG939" s="147"/>
      <c r="CH939" s="147"/>
      <c r="CI939" s="147"/>
      <c r="CJ939" s="147"/>
      <c r="CK939" s="147"/>
    </row>
    <row r="940" spans="1:89">
      <c r="A940" s="147"/>
      <c r="B940" s="147"/>
      <c r="C940" s="147"/>
      <c r="D940" s="147"/>
      <c r="E940" s="147"/>
      <c r="F940" s="147"/>
      <c r="G940" s="147"/>
      <c r="H940" s="147"/>
      <c r="I940" s="147"/>
      <c r="J940" s="147"/>
      <c r="K940" s="147"/>
      <c r="L940" s="147"/>
      <c r="M940" s="147"/>
      <c r="N940" s="147"/>
      <c r="O940" s="158"/>
      <c r="P940" s="147"/>
      <c r="Q940" s="147"/>
      <c r="R940" s="147"/>
      <c r="S940" s="147"/>
      <c r="T940" s="147"/>
      <c r="U940" s="147"/>
      <c r="V940" s="147"/>
      <c r="W940" s="147"/>
      <c r="X940" s="147"/>
      <c r="Y940" s="147"/>
      <c r="Z940" s="147"/>
      <c r="AA940" s="147"/>
      <c r="AB940" s="147"/>
      <c r="AC940" s="147"/>
      <c r="AD940" s="147"/>
      <c r="AE940" s="147"/>
      <c r="AF940" s="147"/>
      <c r="AG940" s="147"/>
      <c r="AH940" s="147"/>
      <c r="AI940" s="147"/>
      <c r="AJ940" s="147"/>
      <c r="AK940" s="147"/>
      <c r="AL940" s="147"/>
      <c r="AM940" s="147"/>
      <c r="AN940" s="147"/>
      <c r="AO940" s="147"/>
      <c r="AP940" s="147"/>
      <c r="AQ940" s="147"/>
      <c r="AR940" s="147"/>
      <c r="AS940" s="147"/>
      <c r="AT940" s="147"/>
      <c r="AU940" s="147"/>
      <c r="AV940" s="147"/>
      <c r="AW940" s="147"/>
      <c r="AX940" s="147"/>
      <c r="AY940" s="147"/>
      <c r="AZ940" s="147"/>
      <c r="BA940" s="147"/>
      <c r="BB940" s="147"/>
      <c r="BC940" s="147"/>
      <c r="BD940" s="147"/>
      <c r="BE940" s="147"/>
      <c r="BF940" s="147"/>
      <c r="BG940" s="147"/>
      <c r="BH940" s="147"/>
      <c r="BI940" s="147"/>
      <c r="BJ940" s="147"/>
      <c r="BK940" s="147"/>
      <c r="BL940" s="147"/>
      <c r="BM940" s="147"/>
      <c r="BN940" s="147"/>
      <c r="BO940" s="147"/>
      <c r="BP940" s="147"/>
      <c r="BQ940" s="147"/>
      <c r="BR940" s="147"/>
      <c r="BS940" s="147"/>
      <c r="BT940" s="147"/>
      <c r="BU940" s="147"/>
      <c r="BV940" s="147"/>
      <c r="BW940" s="147"/>
      <c r="BX940" s="147"/>
      <c r="BY940" s="147"/>
      <c r="BZ940" s="147"/>
      <c r="CA940" s="147"/>
      <c r="CB940" s="147"/>
      <c r="CC940" s="147"/>
      <c r="CD940" s="147"/>
      <c r="CE940" s="147"/>
      <c r="CF940" s="147"/>
      <c r="CG940" s="147"/>
      <c r="CH940" s="147"/>
      <c r="CI940" s="147"/>
      <c r="CJ940" s="147"/>
      <c r="CK940" s="147"/>
    </row>
    <row r="941" spans="1:89">
      <c r="A941" s="147"/>
      <c r="B941" s="147"/>
      <c r="C941" s="147"/>
      <c r="D941" s="147"/>
      <c r="E941" s="147"/>
      <c r="F941" s="147"/>
      <c r="G941" s="147"/>
      <c r="H941" s="147"/>
      <c r="I941" s="147"/>
      <c r="J941" s="147"/>
      <c r="K941" s="147"/>
      <c r="L941" s="147"/>
      <c r="M941" s="147"/>
      <c r="N941" s="147"/>
      <c r="O941" s="158"/>
      <c r="P941" s="147"/>
      <c r="Q941" s="147"/>
      <c r="R941" s="147"/>
      <c r="S941" s="147"/>
      <c r="T941" s="147"/>
      <c r="U941" s="147"/>
      <c r="V941" s="147"/>
      <c r="W941" s="147"/>
      <c r="X941" s="147"/>
      <c r="Y941" s="147"/>
      <c r="Z941" s="147"/>
      <c r="AA941" s="147"/>
      <c r="AB941" s="147"/>
      <c r="AC941" s="147"/>
      <c r="AD941" s="147"/>
      <c r="AE941" s="147"/>
      <c r="AF941" s="147"/>
      <c r="AG941" s="147"/>
      <c r="AH941" s="147"/>
      <c r="AI941" s="147"/>
      <c r="AJ941" s="147"/>
      <c r="AK941" s="147"/>
      <c r="AL941" s="147"/>
      <c r="AM941" s="147"/>
      <c r="AN941" s="147"/>
      <c r="AO941" s="147"/>
      <c r="AP941" s="147"/>
      <c r="AQ941" s="147"/>
      <c r="AR941" s="147"/>
      <c r="AS941" s="147"/>
      <c r="AT941" s="147"/>
      <c r="AU941" s="147"/>
      <c r="AV941" s="147"/>
      <c r="AW941" s="147"/>
      <c r="AX941" s="147"/>
      <c r="AY941" s="147"/>
      <c r="AZ941" s="147"/>
      <c r="BA941" s="147"/>
      <c r="BB941" s="147"/>
      <c r="BC941" s="147"/>
      <c r="BD941" s="147"/>
      <c r="BE941" s="147"/>
      <c r="BF941" s="147"/>
      <c r="BG941" s="147"/>
      <c r="BH941" s="147"/>
      <c r="BI941" s="147"/>
      <c r="BJ941" s="147"/>
      <c r="BK941" s="147"/>
      <c r="BL941" s="147"/>
      <c r="BM941" s="147"/>
      <c r="BN941" s="147"/>
      <c r="BO941" s="147"/>
      <c r="BP941" s="147"/>
      <c r="BQ941" s="147"/>
      <c r="BR941" s="147"/>
      <c r="BS941" s="147"/>
      <c r="BT941" s="147"/>
      <c r="BU941" s="147"/>
      <c r="BV941" s="147"/>
      <c r="BW941" s="147"/>
      <c r="BX941" s="147"/>
      <c r="BY941" s="147"/>
      <c r="BZ941" s="147"/>
      <c r="CA941" s="147"/>
      <c r="CB941" s="147"/>
      <c r="CC941" s="147"/>
      <c r="CD941" s="147"/>
      <c r="CE941" s="147"/>
      <c r="CF941" s="147"/>
      <c r="CG941" s="147"/>
      <c r="CH941" s="147"/>
      <c r="CI941" s="147"/>
      <c r="CJ941" s="147"/>
      <c r="CK941" s="147"/>
    </row>
    <row r="942" spans="1:89">
      <c r="A942" s="147"/>
      <c r="B942" s="147"/>
      <c r="C942" s="147"/>
      <c r="D942" s="147"/>
      <c r="E942" s="147"/>
      <c r="F942" s="147"/>
      <c r="G942" s="147"/>
      <c r="H942" s="147"/>
      <c r="I942" s="147"/>
      <c r="J942" s="147"/>
      <c r="K942" s="147"/>
      <c r="L942" s="147"/>
      <c r="M942" s="147"/>
      <c r="N942" s="147"/>
      <c r="O942" s="158"/>
      <c r="P942" s="147"/>
      <c r="Q942" s="147"/>
      <c r="R942" s="147"/>
      <c r="S942" s="147"/>
      <c r="T942" s="147"/>
      <c r="U942" s="147"/>
      <c r="V942" s="147"/>
      <c r="W942" s="147"/>
      <c r="X942" s="147"/>
      <c r="Y942" s="147"/>
      <c r="Z942" s="147"/>
      <c r="AA942" s="147"/>
      <c r="AB942" s="147"/>
      <c r="AC942" s="147"/>
      <c r="AD942" s="147"/>
      <c r="AE942" s="147"/>
      <c r="AF942" s="147"/>
      <c r="AG942" s="147"/>
      <c r="AH942" s="147"/>
      <c r="AI942" s="147"/>
      <c r="AJ942" s="147"/>
      <c r="AK942" s="147"/>
      <c r="AL942" s="147"/>
      <c r="AM942" s="147"/>
      <c r="AN942" s="147"/>
      <c r="AO942" s="147"/>
      <c r="AP942" s="147"/>
      <c r="AQ942" s="147"/>
      <c r="AR942" s="147"/>
      <c r="AS942" s="147"/>
      <c r="AT942" s="147"/>
      <c r="AU942" s="147"/>
      <c r="AV942" s="147"/>
      <c r="AW942" s="147"/>
      <c r="AX942" s="147"/>
      <c r="AY942" s="147"/>
      <c r="AZ942" s="147"/>
      <c r="BA942" s="147"/>
      <c r="BB942" s="147"/>
      <c r="BC942" s="147"/>
      <c r="BD942" s="147"/>
      <c r="BE942" s="147"/>
      <c r="BF942" s="147"/>
      <c r="BG942" s="147"/>
      <c r="BH942" s="147"/>
      <c r="BI942" s="147"/>
      <c r="BJ942" s="147"/>
      <c r="BK942" s="147"/>
      <c r="BL942" s="147"/>
      <c r="BM942" s="147"/>
      <c r="BN942" s="147"/>
      <c r="BO942" s="147"/>
      <c r="BP942" s="147"/>
      <c r="BQ942" s="147"/>
      <c r="BR942" s="147"/>
      <c r="BS942" s="147"/>
      <c r="BT942" s="147"/>
      <c r="BU942" s="147"/>
      <c r="BV942" s="147"/>
      <c r="BW942" s="147"/>
      <c r="BX942" s="147"/>
      <c r="BY942" s="147"/>
      <c r="BZ942" s="147"/>
      <c r="CA942" s="147"/>
      <c r="CB942" s="147"/>
      <c r="CC942" s="147"/>
      <c r="CD942" s="147"/>
      <c r="CE942" s="147"/>
      <c r="CF942" s="147"/>
      <c r="CG942" s="147"/>
      <c r="CH942" s="147"/>
      <c r="CI942" s="147"/>
      <c r="CJ942" s="147"/>
      <c r="CK942" s="147"/>
    </row>
    <row r="943" spans="1:89">
      <c r="A943" s="147"/>
      <c r="B943" s="147"/>
      <c r="C943" s="147"/>
      <c r="D943" s="147"/>
      <c r="E943" s="147"/>
      <c r="F943" s="147"/>
      <c r="G943" s="147"/>
      <c r="H943" s="147"/>
      <c r="I943" s="147"/>
      <c r="J943" s="147"/>
      <c r="K943" s="147"/>
      <c r="L943" s="147"/>
      <c r="M943" s="147"/>
      <c r="N943" s="147"/>
      <c r="O943" s="158"/>
      <c r="P943" s="147"/>
      <c r="Q943" s="147"/>
      <c r="R943" s="147"/>
      <c r="S943" s="147"/>
      <c r="T943" s="147"/>
      <c r="U943" s="147"/>
      <c r="V943" s="147"/>
      <c r="W943" s="147"/>
      <c r="X943" s="147"/>
      <c r="Y943" s="147"/>
      <c r="Z943" s="147"/>
      <c r="AA943" s="147"/>
      <c r="AB943" s="147"/>
      <c r="AC943" s="147"/>
      <c r="AD943" s="147"/>
      <c r="AE943" s="147"/>
      <c r="AF943" s="147"/>
      <c r="AG943" s="147"/>
      <c r="AH943" s="147"/>
      <c r="AI943" s="147"/>
      <c r="AJ943" s="147"/>
      <c r="AK943" s="147"/>
      <c r="AL943" s="147"/>
      <c r="AM943" s="147"/>
      <c r="AN943" s="147"/>
      <c r="AO943" s="147"/>
      <c r="AP943" s="147"/>
      <c r="AQ943" s="147"/>
      <c r="AR943" s="147"/>
      <c r="AS943" s="147"/>
      <c r="AT943" s="147"/>
      <c r="AU943" s="147"/>
      <c r="AV943" s="147"/>
      <c r="AW943" s="147"/>
      <c r="AX943" s="147"/>
      <c r="AY943" s="147"/>
      <c r="AZ943" s="147"/>
      <c r="BA943" s="147"/>
      <c r="BB943" s="147"/>
      <c r="BC943" s="147"/>
      <c r="BD943" s="147"/>
      <c r="BE943" s="147"/>
      <c r="BF943" s="147"/>
      <c r="BG943" s="147"/>
      <c r="BH943" s="147"/>
      <c r="BI943" s="147"/>
      <c r="BJ943" s="147"/>
      <c r="BK943" s="147"/>
      <c r="BL943" s="147"/>
      <c r="BM943" s="147"/>
      <c r="BN943" s="147"/>
      <c r="BO943" s="147"/>
      <c r="BP943" s="147"/>
      <c r="BQ943" s="147"/>
      <c r="BR943" s="147"/>
      <c r="BS943" s="147"/>
      <c r="BT943" s="147"/>
      <c r="BU943" s="147"/>
      <c r="BV943" s="147"/>
      <c r="BW943" s="147"/>
      <c r="BX943" s="147"/>
      <c r="BY943" s="147"/>
      <c r="BZ943" s="147"/>
      <c r="CA943" s="147"/>
      <c r="CB943" s="147"/>
      <c r="CC943" s="147"/>
      <c r="CD943" s="147"/>
      <c r="CE943" s="147"/>
      <c r="CF943" s="147"/>
      <c r="CG943" s="147"/>
      <c r="CH943" s="147"/>
      <c r="CI943" s="147"/>
      <c r="CJ943" s="147"/>
      <c r="CK943" s="147"/>
    </row>
    <row r="944" spans="1:89">
      <c r="A944" s="147"/>
      <c r="B944" s="147"/>
      <c r="C944" s="147"/>
      <c r="D944" s="147"/>
      <c r="E944" s="147"/>
      <c r="F944" s="147"/>
      <c r="G944" s="147"/>
      <c r="H944" s="147"/>
      <c r="I944" s="147"/>
      <c r="J944" s="147"/>
      <c r="K944" s="147"/>
      <c r="L944" s="147"/>
      <c r="M944" s="147"/>
      <c r="N944" s="147"/>
      <c r="O944" s="158"/>
      <c r="P944" s="147"/>
      <c r="Q944" s="147"/>
      <c r="R944" s="147"/>
      <c r="S944" s="147"/>
      <c r="T944" s="147"/>
      <c r="U944" s="147"/>
      <c r="V944" s="147"/>
      <c r="W944" s="147"/>
      <c r="X944" s="147"/>
      <c r="Y944" s="147"/>
      <c r="Z944" s="147"/>
      <c r="AA944" s="147"/>
      <c r="AB944" s="147"/>
      <c r="AC944" s="147"/>
      <c r="AD944" s="147"/>
      <c r="AE944" s="147"/>
      <c r="AF944" s="147"/>
      <c r="AG944" s="147"/>
      <c r="AH944" s="147"/>
      <c r="AI944" s="147"/>
      <c r="AJ944" s="147"/>
      <c r="AK944" s="147"/>
      <c r="AL944" s="147"/>
      <c r="AM944" s="147"/>
      <c r="AN944" s="147"/>
      <c r="AO944" s="147"/>
      <c r="AP944" s="147"/>
      <c r="AQ944" s="147"/>
      <c r="AR944" s="147"/>
      <c r="AS944" s="147"/>
      <c r="AT944" s="147"/>
      <c r="AU944" s="147"/>
      <c r="AV944" s="147"/>
      <c r="AW944" s="147"/>
      <c r="AX944" s="147"/>
      <c r="AY944" s="147"/>
      <c r="AZ944" s="147"/>
      <c r="BA944" s="147"/>
      <c r="BB944" s="147"/>
      <c r="BC944" s="147"/>
      <c r="BD944" s="147"/>
      <c r="BE944" s="147"/>
      <c r="BF944" s="147"/>
      <c r="BG944" s="147"/>
      <c r="BH944" s="147"/>
      <c r="BI944" s="147"/>
      <c r="BJ944" s="147"/>
      <c r="BK944" s="147"/>
      <c r="BL944" s="147"/>
      <c r="BM944" s="147"/>
      <c r="BN944" s="147"/>
      <c r="BO944" s="147"/>
      <c r="BP944" s="147"/>
      <c r="BQ944" s="147"/>
      <c r="BR944" s="147"/>
      <c r="BS944" s="147"/>
      <c r="BT944" s="147"/>
      <c r="BU944" s="147"/>
      <c r="BV944" s="147"/>
      <c r="BW944" s="147"/>
      <c r="BX944" s="147"/>
      <c r="BY944" s="147"/>
      <c r="BZ944" s="147"/>
      <c r="CA944" s="147"/>
      <c r="CB944" s="147"/>
      <c r="CC944" s="147"/>
      <c r="CD944" s="147"/>
      <c r="CE944" s="147"/>
      <c r="CF944" s="147"/>
      <c r="CG944" s="147"/>
      <c r="CH944" s="147"/>
      <c r="CI944" s="147"/>
      <c r="CJ944" s="147"/>
      <c r="CK944" s="147"/>
    </row>
    <row r="945" spans="1:89">
      <c r="A945" s="147"/>
      <c r="B945" s="147"/>
      <c r="C945" s="147"/>
      <c r="D945" s="147"/>
      <c r="E945" s="147"/>
      <c r="F945" s="147"/>
      <c r="G945" s="147"/>
      <c r="H945" s="147"/>
      <c r="I945" s="147"/>
      <c r="J945" s="147"/>
      <c r="K945" s="147"/>
      <c r="L945" s="147"/>
      <c r="M945" s="147"/>
      <c r="N945" s="147"/>
      <c r="O945" s="158"/>
      <c r="P945" s="147"/>
      <c r="Q945" s="147"/>
      <c r="R945" s="147"/>
      <c r="S945" s="147"/>
      <c r="T945" s="147"/>
      <c r="U945" s="147"/>
      <c r="V945" s="147"/>
      <c r="W945" s="147"/>
      <c r="X945" s="147"/>
      <c r="Y945" s="147"/>
      <c r="Z945" s="147"/>
      <c r="AA945" s="147"/>
      <c r="AB945" s="147"/>
      <c r="AC945" s="147"/>
      <c r="AD945" s="147"/>
      <c r="AE945" s="147"/>
      <c r="AF945" s="147"/>
      <c r="AG945" s="147"/>
      <c r="AH945" s="147"/>
      <c r="AI945" s="147"/>
      <c r="AJ945" s="147"/>
      <c r="AK945" s="147"/>
      <c r="AL945" s="147"/>
      <c r="AM945" s="147"/>
      <c r="AN945" s="147"/>
      <c r="AO945" s="147"/>
      <c r="AP945" s="147"/>
      <c r="AQ945" s="147"/>
      <c r="AR945" s="147"/>
      <c r="AS945" s="147"/>
      <c r="AT945" s="147"/>
      <c r="AU945" s="147"/>
      <c r="AV945" s="147"/>
      <c r="AW945" s="147"/>
      <c r="AX945" s="147"/>
      <c r="AY945" s="147"/>
      <c r="AZ945" s="147"/>
      <c r="BA945" s="147"/>
      <c r="BB945" s="147"/>
      <c r="BC945" s="147"/>
      <c r="BD945" s="147"/>
      <c r="BE945" s="147"/>
      <c r="BF945" s="147"/>
      <c r="BG945" s="147"/>
      <c r="BH945" s="147"/>
      <c r="BI945" s="147"/>
      <c r="BJ945" s="147"/>
      <c r="BK945" s="147"/>
      <c r="BL945" s="147"/>
      <c r="BM945" s="147"/>
      <c r="BN945" s="147"/>
      <c r="BO945" s="147"/>
      <c r="BP945" s="147"/>
      <c r="BQ945" s="147"/>
      <c r="BR945" s="147"/>
      <c r="BS945" s="147"/>
      <c r="BT945" s="147"/>
      <c r="BU945" s="147"/>
      <c r="BV945" s="147"/>
      <c r="BW945" s="147"/>
      <c r="BX945" s="147"/>
      <c r="BY945" s="147"/>
      <c r="BZ945" s="147"/>
      <c r="CA945" s="147"/>
      <c r="CB945" s="147"/>
      <c r="CC945" s="147"/>
      <c r="CD945" s="147"/>
      <c r="CE945" s="147"/>
      <c r="CF945" s="147"/>
      <c r="CG945" s="147"/>
      <c r="CH945" s="147"/>
      <c r="CI945" s="147"/>
      <c r="CJ945" s="147"/>
      <c r="CK945" s="147"/>
    </row>
    <row r="946" spans="1:89">
      <c r="A946" s="147"/>
      <c r="B946" s="147"/>
      <c r="C946" s="147"/>
      <c r="D946" s="147"/>
      <c r="E946" s="147"/>
      <c r="F946" s="147"/>
      <c r="G946" s="147"/>
      <c r="H946" s="147"/>
      <c r="I946" s="147"/>
      <c r="J946" s="147"/>
      <c r="K946" s="147"/>
      <c r="L946" s="147"/>
      <c r="M946" s="147"/>
      <c r="N946" s="147"/>
      <c r="O946" s="158"/>
      <c r="P946" s="147"/>
      <c r="Q946" s="147"/>
      <c r="R946" s="147"/>
      <c r="S946" s="147"/>
      <c r="T946" s="147"/>
      <c r="U946" s="147"/>
      <c r="V946" s="147"/>
      <c r="W946" s="147"/>
      <c r="X946" s="147"/>
      <c r="Y946" s="147"/>
      <c r="Z946" s="147"/>
      <c r="AA946" s="147"/>
      <c r="AB946" s="147"/>
      <c r="AC946" s="147"/>
      <c r="AD946" s="147"/>
      <c r="AE946" s="147"/>
      <c r="AF946" s="147"/>
      <c r="AG946" s="147"/>
      <c r="AH946" s="147"/>
      <c r="AI946" s="147"/>
      <c r="AJ946" s="147"/>
      <c r="AK946" s="147"/>
      <c r="AL946" s="147"/>
      <c r="AM946" s="147"/>
      <c r="AN946" s="147"/>
      <c r="AO946" s="147"/>
      <c r="AP946" s="147"/>
      <c r="AQ946" s="147"/>
      <c r="AR946" s="147"/>
      <c r="AS946" s="147"/>
      <c r="AT946" s="147"/>
      <c r="AU946" s="147"/>
      <c r="AV946" s="147"/>
      <c r="AW946" s="147"/>
      <c r="AX946" s="147"/>
      <c r="AY946" s="147"/>
      <c r="AZ946" s="147"/>
      <c r="BA946" s="147"/>
      <c r="BB946" s="147"/>
      <c r="BC946" s="147"/>
      <c r="BD946" s="147"/>
      <c r="BE946" s="147"/>
      <c r="BF946" s="147"/>
      <c r="BG946" s="147"/>
      <c r="BH946" s="147"/>
      <c r="BI946" s="147"/>
      <c r="BJ946" s="147"/>
      <c r="BK946" s="147"/>
      <c r="BL946" s="147"/>
      <c r="BM946" s="147"/>
      <c r="BN946" s="147"/>
      <c r="BO946" s="147"/>
      <c r="BP946" s="147"/>
      <c r="BQ946" s="147"/>
      <c r="BR946" s="147"/>
      <c r="BS946" s="147"/>
      <c r="BT946" s="147"/>
      <c r="BU946" s="147"/>
      <c r="BV946" s="147"/>
      <c r="BW946" s="147"/>
      <c r="BX946" s="147"/>
      <c r="BY946" s="147"/>
      <c r="BZ946" s="147"/>
      <c r="CA946" s="147"/>
      <c r="CB946" s="147"/>
      <c r="CC946" s="147"/>
      <c r="CD946" s="147"/>
      <c r="CE946" s="147"/>
      <c r="CF946" s="147"/>
      <c r="CG946" s="147"/>
      <c r="CH946" s="147"/>
      <c r="CI946" s="147"/>
      <c r="CJ946" s="147"/>
      <c r="CK946" s="147"/>
    </row>
    <row r="947" spans="1:89">
      <c r="A947" s="147"/>
      <c r="B947" s="147"/>
      <c r="C947" s="147"/>
      <c r="D947" s="147"/>
      <c r="E947" s="147"/>
      <c r="F947" s="147"/>
      <c r="G947" s="147"/>
      <c r="H947" s="147"/>
      <c r="I947" s="147"/>
      <c r="J947" s="147"/>
      <c r="K947" s="147"/>
      <c r="L947" s="147"/>
      <c r="M947" s="147"/>
      <c r="N947" s="147"/>
      <c r="O947" s="158"/>
      <c r="P947" s="147"/>
      <c r="Q947" s="147"/>
      <c r="R947" s="147"/>
      <c r="S947" s="147"/>
      <c r="T947" s="147"/>
      <c r="U947" s="147"/>
      <c r="V947" s="147"/>
      <c r="W947" s="147"/>
      <c r="X947" s="147"/>
      <c r="Y947" s="147"/>
      <c r="Z947" s="147"/>
      <c r="AA947" s="147"/>
      <c r="AB947" s="147"/>
      <c r="AC947" s="147"/>
      <c r="AD947" s="147"/>
      <c r="AE947" s="147"/>
      <c r="AF947" s="147"/>
      <c r="AG947" s="147"/>
      <c r="AH947" s="147"/>
      <c r="AI947" s="147"/>
      <c r="AJ947" s="147"/>
      <c r="AK947" s="147"/>
      <c r="AL947" s="147"/>
      <c r="AM947" s="147"/>
      <c r="AN947" s="147"/>
      <c r="AO947" s="147"/>
      <c r="AP947" s="147"/>
      <c r="AQ947" s="147"/>
      <c r="AR947" s="147"/>
      <c r="AS947" s="147"/>
      <c r="AT947" s="147"/>
      <c r="AU947" s="147"/>
      <c r="AV947" s="147"/>
      <c r="AW947" s="147"/>
      <c r="AX947" s="147"/>
      <c r="AY947" s="147"/>
      <c r="AZ947" s="147"/>
      <c r="BA947" s="147"/>
      <c r="BB947" s="147"/>
      <c r="BC947" s="147"/>
      <c r="BD947" s="147"/>
      <c r="BE947" s="147"/>
      <c r="BF947" s="147"/>
      <c r="BG947" s="147"/>
      <c r="BH947" s="147"/>
      <c r="BI947" s="147"/>
      <c r="BJ947" s="147"/>
      <c r="BK947" s="147"/>
      <c r="BL947" s="147"/>
      <c r="BM947" s="147"/>
      <c r="BN947" s="147"/>
      <c r="BO947" s="147"/>
      <c r="BP947" s="147"/>
      <c r="BQ947" s="147"/>
      <c r="BR947" s="147"/>
      <c r="BS947" s="147"/>
      <c r="BT947" s="147"/>
      <c r="BU947" s="147"/>
      <c r="BV947" s="147"/>
      <c r="BW947" s="147"/>
      <c r="BX947" s="147"/>
      <c r="BY947" s="147"/>
      <c r="BZ947" s="147"/>
      <c r="CA947" s="147"/>
      <c r="CB947" s="147"/>
      <c r="CC947" s="147"/>
      <c r="CD947" s="147"/>
      <c r="CE947" s="147"/>
      <c r="CF947" s="147"/>
      <c r="CG947" s="147"/>
      <c r="CH947" s="147"/>
      <c r="CI947" s="147"/>
      <c r="CJ947" s="147"/>
      <c r="CK947" s="147"/>
    </row>
    <row r="948" spans="1:89">
      <c r="A948" s="147"/>
      <c r="B948" s="147"/>
      <c r="C948" s="147"/>
      <c r="D948" s="147"/>
      <c r="E948" s="147"/>
      <c r="F948" s="147"/>
      <c r="G948" s="147"/>
      <c r="H948" s="147"/>
      <c r="I948" s="147"/>
      <c r="J948" s="147"/>
      <c r="K948" s="147"/>
      <c r="L948" s="147"/>
      <c r="M948" s="147"/>
      <c r="N948" s="147"/>
      <c r="O948" s="158"/>
      <c r="P948" s="147"/>
      <c r="Q948" s="147"/>
      <c r="R948" s="147"/>
      <c r="S948" s="147"/>
      <c r="T948" s="147"/>
      <c r="U948" s="147"/>
      <c r="V948" s="147"/>
      <c r="W948" s="147"/>
      <c r="X948" s="147"/>
      <c r="Y948" s="147"/>
      <c r="Z948" s="147"/>
      <c r="AA948" s="147"/>
      <c r="AB948" s="147"/>
      <c r="AC948" s="147"/>
      <c r="AD948" s="147"/>
      <c r="AE948" s="147"/>
      <c r="AF948" s="147"/>
      <c r="AG948" s="147"/>
      <c r="AH948" s="147"/>
      <c r="AI948" s="147"/>
      <c r="AJ948" s="147"/>
      <c r="AK948" s="147"/>
      <c r="AL948" s="147"/>
      <c r="AM948" s="147"/>
      <c r="AN948" s="147"/>
      <c r="AO948" s="147"/>
      <c r="AP948" s="147"/>
      <c r="AQ948" s="147"/>
      <c r="AR948" s="147"/>
      <c r="AS948" s="147"/>
      <c r="AT948" s="147"/>
      <c r="AU948" s="147"/>
      <c r="AV948" s="147"/>
      <c r="AW948" s="147"/>
      <c r="AX948" s="147"/>
      <c r="AY948" s="147"/>
      <c r="AZ948" s="147"/>
      <c r="BA948" s="147"/>
      <c r="BB948" s="147"/>
      <c r="BC948" s="147"/>
      <c r="BD948" s="147"/>
      <c r="BE948" s="147"/>
      <c r="BF948" s="147"/>
      <c r="BG948" s="147"/>
      <c r="BH948" s="147"/>
      <c r="BI948" s="147"/>
      <c r="BJ948" s="147"/>
      <c r="BK948" s="147"/>
      <c r="BL948" s="147"/>
      <c r="BM948" s="147"/>
      <c r="BN948" s="147"/>
      <c r="BO948" s="147"/>
      <c r="BP948" s="147"/>
      <c r="BQ948" s="147"/>
      <c r="BR948" s="147"/>
      <c r="BS948" s="147"/>
      <c r="BT948" s="147"/>
      <c r="BU948" s="147"/>
      <c r="BV948" s="147"/>
      <c r="BW948" s="147"/>
      <c r="BX948" s="147"/>
      <c r="BY948" s="147"/>
      <c r="BZ948" s="147"/>
      <c r="CA948" s="147"/>
      <c r="CB948" s="147"/>
      <c r="CC948" s="147"/>
      <c r="CD948" s="147"/>
      <c r="CE948" s="147"/>
      <c r="CF948" s="147"/>
      <c r="CG948" s="147"/>
      <c r="CH948" s="147"/>
      <c r="CI948" s="147"/>
      <c r="CJ948" s="147"/>
      <c r="CK948" s="147"/>
    </row>
    <row r="949" spans="1:89">
      <c r="A949" s="147"/>
      <c r="B949" s="147"/>
      <c r="C949" s="147"/>
      <c r="D949" s="147"/>
      <c r="E949" s="147"/>
      <c r="F949" s="147"/>
      <c r="G949" s="147"/>
      <c r="H949" s="147"/>
      <c r="I949" s="147"/>
      <c r="J949" s="147"/>
      <c r="K949" s="147"/>
      <c r="L949" s="147"/>
      <c r="M949" s="147"/>
      <c r="N949" s="147"/>
      <c r="O949" s="158"/>
      <c r="P949" s="147"/>
      <c r="Q949" s="147"/>
      <c r="R949" s="147"/>
      <c r="S949" s="147"/>
      <c r="T949" s="147"/>
      <c r="U949" s="147"/>
      <c r="V949" s="147"/>
      <c r="W949" s="147"/>
      <c r="X949" s="147"/>
      <c r="Y949" s="147"/>
      <c r="Z949" s="147"/>
      <c r="AA949" s="147"/>
      <c r="AB949" s="147"/>
      <c r="AC949" s="147"/>
      <c r="AD949" s="147"/>
      <c r="AE949" s="147"/>
      <c r="AF949" s="147"/>
      <c r="AG949" s="147"/>
      <c r="AH949" s="147"/>
      <c r="AI949" s="147"/>
      <c r="AJ949" s="147"/>
      <c r="AK949" s="147"/>
      <c r="AL949" s="147"/>
      <c r="AM949" s="147"/>
      <c r="AN949" s="147"/>
      <c r="AO949" s="147"/>
      <c r="AP949" s="147"/>
      <c r="AQ949" s="147"/>
      <c r="AR949" s="147"/>
      <c r="AS949" s="147"/>
      <c r="AT949" s="147"/>
      <c r="AU949" s="147"/>
      <c r="AV949" s="147"/>
      <c r="AW949" s="147"/>
      <c r="AX949" s="147"/>
      <c r="AY949" s="147"/>
      <c r="AZ949" s="147"/>
      <c r="BA949" s="147"/>
      <c r="BB949" s="147"/>
      <c r="BC949" s="147"/>
      <c r="BD949" s="147"/>
      <c r="BE949" s="147"/>
      <c r="BF949" s="147"/>
      <c r="BG949" s="147"/>
      <c r="BH949" s="147"/>
      <c r="BI949" s="147"/>
      <c r="BJ949" s="147"/>
      <c r="BK949" s="147"/>
      <c r="BL949" s="147"/>
      <c r="BM949" s="147"/>
      <c r="BN949" s="147"/>
      <c r="BO949" s="147"/>
      <c r="BP949" s="147"/>
      <c r="BQ949" s="147"/>
      <c r="BR949" s="147"/>
      <c r="BS949" s="147"/>
      <c r="BT949" s="147"/>
      <c r="BU949" s="147"/>
      <c r="BV949" s="147"/>
      <c r="BW949" s="147"/>
      <c r="BX949" s="147"/>
      <c r="BY949" s="147"/>
      <c r="BZ949" s="147"/>
      <c r="CA949" s="147"/>
      <c r="CB949" s="147"/>
      <c r="CC949" s="147"/>
      <c r="CD949" s="147"/>
      <c r="CE949" s="147"/>
      <c r="CF949" s="147"/>
      <c r="CG949" s="147"/>
      <c r="CH949" s="147"/>
      <c r="CI949" s="147"/>
      <c r="CJ949" s="147"/>
      <c r="CK949" s="147"/>
    </row>
    <row r="950" spans="1:89">
      <c r="A950" s="147"/>
      <c r="B950" s="147"/>
      <c r="C950" s="147"/>
      <c r="D950" s="147"/>
      <c r="E950" s="147"/>
      <c r="F950" s="147"/>
      <c r="G950" s="147"/>
      <c r="H950" s="147"/>
      <c r="I950" s="147"/>
      <c r="J950" s="147"/>
      <c r="K950" s="147"/>
      <c r="L950" s="147"/>
      <c r="M950" s="147"/>
      <c r="N950" s="147"/>
      <c r="O950" s="158"/>
      <c r="P950" s="147"/>
      <c r="Q950" s="147"/>
      <c r="R950" s="147"/>
      <c r="S950" s="147"/>
      <c r="T950" s="147"/>
      <c r="U950" s="147"/>
      <c r="V950" s="147"/>
      <c r="W950" s="147"/>
      <c r="X950" s="147"/>
      <c r="Y950" s="147"/>
      <c r="Z950" s="147"/>
      <c r="AA950" s="147"/>
      <c r="AB950" s="147"/>
      <c r="AC950" s="147"/>
      <c r="AD950" s="147"/>
      <c r="AE950" s="147"/>
      <c r="AF950" s="147"/>
      <c r="AG950" s="147"/>
      <c r="AH950" s="147"/>
      <c r="AI950" s="147"/>
      <c r="AJ950" s="147"/>
      <c r="AK950" s="147"/>
      <c r="AL950" s="147"/>
      <c r="AM950" s="147"/>
      <c r="AN950" s="147"/>
      <c r="AO950" s="147"/>
      <c r="AP950" s="147"/>
      <c r="AQ950" s="147"/>
      <c r="AR950" s="147"/>
      <c r="AS950" s="147"/>
      <c r="AT950" s="147"/>
      <c r="AU950" s="147"/>
      <c r="AV950" s="147"/>
      <c r="AW950" s="147"/>
      <c r="AX950" s="147"/>
      <c r="AY950" s="147"/>
      <c r="AZ950" s="147"/>
      <c r="BA950" s="147"/>
      <c r="BB950" s="147"/>
      <c r="BC950" s="147"/>
      <c r="BD950" s="147"/>
      <c r="BE950" s="147"/>
      <c r="BF950" s="147"/>
      <c r="BG950" s="147"/>
      <c r="BH950" s="147"/>
      <c r="BI950" s="147"/>
      <c r="BJ950" s="147"/>
      <c r="BK950" s="147"/>
      <c r="BL950" s="147"/>
      <c r="BM950" s="147"/>
      <c r="BN950" s="147"/>
      <c r="BO950" s="147"/>
      <c r="BP950" s="147"/>
      <c r="BQ950" s="147"/>
      <c r="BR950" s="147"/>
      <c r="BS950" s="147"/>
      <c r="BT950" s="147"/>
      <c r="BU950" s="147"/>
      <c r="BV950" s="147"/>
      <c r="BW950" s="147"/>
      <c r="BX950" s="147"/>
      <c r="BY950" s="147"/>
      <c r="BZ950" s="147"/>
      <c r="CA950" s="147"/>
      <c r="CB950" s="147"/>
      <c r="CC950" s="147"/>
      <c r="CD950" s="147"/>
      <c r="CE950" s="147"/>
      <c r="CF950" s="147"/>
      <c r="CG950" s="147"/>
      <c r="CH950" s="147"/>
      <c r="CI950" s="147"/>
      <c r="CJ950" s="147"/>
      <c r="CK950" s="147"/>
    </row>
    <row r="951" spans="1:89">
      <c r="A951" s="147"/>
      <c r="B951" s="147"/>
      <c r="C951" s="147"/>
      <c r="D951" s="147"/>
      <c r="E951" s="147"/>
      <c r="F951" s="147"/>
      <c r="G951" s="147"/>
      <c r="H951" s="147"/>
      <c r="I951" s="147"/>
      <c r="J951" s="147"/>
      <c r="K951" s="147"/>
      <c r="L951" s="147"/>
      <c r="M951" s="147"/>
      <c r="N951" s="147"/>
      <c r="O951" s="158"/>
      <c r="P951" s="147"/>
      <c r="Q951" s="147"/>
      <c r="R951" s="147"/>
      <c r="S951" s="147"/>
      <c r="T951" s="147"/>
      <c r="U951" s="147"/>
      <c r="V951" s="147"/>
      <c r="W951" s="147"/>
      <c r="X951" s="147"/>
      <c r="Y951" s="147"/>
      <c r="Z951" s="147"/>
      <c r="AA951" s="147"/>
      <c r="AB951" s="147"/>
      <c r="AC951" s="147"/>
      <c r="AD951" s="147"/>
      <c r="AE951" s="147"/>
      <c r="AF951" s="147"/>
      <c r="AG951" s="147"/>
      <c r="AH951" s="147"/>
      <c r="AI951" s="147"/>
      <c r="AJ951" s="147"/>
      <c r="AK951" s="147"/>
      <c r="AL951" s="147"/>
      <c r="AM951" s="147"/>
      <c r="AN951" s="147"/>
      <c r="AO951" s="147"/>
      <c r="AP951" s="147"/>
      <c r="AQ951" s="147"/>
      <c r="AR951" s="147"/>
      <c r="AS951" s="147"/>
      <c r="AT951" s="147"/>
      <c r="AU951" s="147"/>
      <c r="AV951" s="147"/>
      <c r="AW951" s="147"/>
      <c r="AX951" s="147"/>
      <c r="AY951" s="147"/>
      <c r="AZ951" s="147"/>
      <c r="BA951" s="147"/>
      <c r="BB951" s="147"/>
      <c r="BC951" s="147"/>
      <c r="BD951" s="147"/>
      <c r="BE951" s="147"/>
      <c r="BF951" s="147"/>
      <c r="BG951" s="147"/>
      <c r="BH951" s="147"/>
      <c r="BI951" s="147"/>
      <c r="BJ951" s="147"/>
      <c r="BK951" s="147"/>
      <c r="BL951" s="147"/>
      <c r="BM951" s="147"/>
      <c r="BN951" s="147"/>
      <c r="BO951" s="147"/>
      <c r="BP951" s="147"/>
      <c r="BQ951" s="147"/>
      <c r="BR951" s="147"/>
      <c r="BS951" s="147"/>
      <c r="BT951" s="147"/>
      <c r="BU951" s="147"/>
      <c r="BV951" s="147"/>
      <c r="BW951" s="147"/>
      <c r="BX951" s="147"/>
      <c r="BY951" s="147"/>
      <c r="BZ951" s="147"/>
      <c r="CA951" s="147"/>
      <c r="CB951" s="147"/>
      <c r="CC951" s="147"/>
      <c r="CD951" s="147"/>
      <c r="CE951" s="147"/>
      <c r="CF951" s="147"/>
      <c r="CG951" s="147"/>
      <c r="CH951" s="147"/>
      <c r="CI951" s="147"/>
      <c r="CJ951" s="147"/>
      <c r="CK951" s="147"/>
    </row>
    <row r="952" spans="1:89">
      <c r="A952" s="147"/>
      <c r="B952" s="147"/>
      <c r="C952" s="147"/>
      <c r="D952" s="147"/>
      <c r="E952" s="147"/>
      <c r="F952" s="147"/>
      <c r="G952" s="147"/>
      <c r="H952" s="147"/>
      <c r="I952" s="147"/>
      <c r="J952" s="147"/>
      <c r="K952" s="147"/>
      <c r="L952" s="147"/>
      <c r="M952" s="147"/>
      <c r="N952" s="147"/>
      <c r="O952" s="158"/>
      <c r="P952" s="147"/>
      <c r="Q952" s="147"/>
      <c r="R952" s="147"/>
      <c r="S952" s="147"/>
      <c r="T952" s="147"/>
      <c r="U952" s="147"/>
      <c r="V952" s="147"/>
      <c r="W952" s="147"/>
      <c r="X952" s="147"/>
      <c r="Y952" s="147"/>
      <c r="Z952" s="147"/>
      <c r="AA952" s="147"/>
      <c r="AB952" s="147"/>
      <c r="AC952" s="147"/>
      <c r="AD952" s="147"/>
      <c r="AE952" s="147"/>
      <c r="AF952" s="147"/>
      <c r="AG952" s="147"/>
      <c r="AH952" s="147"/>
      <c r="AI952" s="147"/>
      <c r="AJ952" s="147"/>
      <c r="AK952" s="147"/>
      <c r="AL952" s="147"/>
      <c r="AM952" s="147"/>
      <c r="AN952" s="147"/>
      <c r="AO952" s="147"/>
      <c r="AP952" s="147"/>
      <c r="AQ952" s="147"/>
      <c r="AR952" s="147"/>
      <c r="AS952" s="147"/>
      <c r="AT952" s="147"/>
      <c r="AU952" s="147"/>
      <c r="AV952" s="147"/>
      <c r="AW952" s="147"/>
      <c r="AX952" s="147"/>
      <c r="AY952" s="147"/>
      <c r="AZ952" s="147"/>
      <c r="BA952" s="147"/>
      <c r="BB952" s="147"/>
      <c r="BC952" s="147"/>
      <c r="BD952" s="147"/>
      <c r="BE952" s="147"/>
      <c r="BF952" s="147"/>
      <c r="BG952" s="147"/>
      <c r="BH952" s="147"/>
      <c r="BI952" s="147"/>
      <c r="BJ952" s="147"/>
      <c r="BK952" s="147"/>
      <c r="BL952" s="147"/>
      <c r="BM952" s="147"/>
      <c r="BN952" s="147"/>
      <c r="BO952" s="147"/>
      <c r="BP952" s="147"/>
      <c r="BQ952" s="147"/>
      <c r="BR952" s="147"/>
      <c r="BS952" s="147"/>
      <c r="BT952" s="147"/>
      <c r="BU952" s="147"/>
      <c r="BV952" s="147"/>
      <c r="BW952" s="147"/>
      <c r="BX952" s="147"/>
      <c r="BY952" s="147"/>
      <c r="BZ952" s="147"/>
      <c r="CA952" s="147"/>
      <c r="CB952" s="147"/>
      <c r="CC952" s="147"/>
      <c r="CD952" s="147"/>
      <c r="CE952" s="147"/>
      <c r="CF952" s="147"/>
      <c r="CG952" s="147"/>
      <c r="CH952" s="147"/>
      <c r="CI952" s="147"/>
      <c r="CJ952" s="147"/>
      <c r="CK952" s="147"/>
    </row>
    <row r="953" spans="1:89">
      <c r="A953" s="147"/>
      <c r="B953" s="147"/>
      <c r="C953" s="147"/>
      <c r="D953" s="147"/>
      <c r="E953" s="147"/>
      <c r="F953" s="147"/>
      <c r="G953" s="147"/>
      <c r="H953" s="147"/>
      <c r="I953" s="147"/>
      <c r="J953" s="147"/>
      <c r="K953" s="147"/>
      <c r="L953" s="147"/>
      <c r="M953" s="147"/>
      <c r="N953" s="147"/>
      <c r="O953" s="158"/>
      <c r="P953" s="147"/>
      <c r="Q953" s="147"/>
      <c r="R953" s="147"/>
      <c r="S953" s="147"/>
      <c r="T953" s="147"/>
      <c r="U953" s="147"/>
      <c r="V953" s="147"/>
      <c r="W953" s="147"/>
      <c r="X953" s="147"/>
      <c r="Y953" s="147"/>
      <c r="Z953" s="147"/>
      <c r="AA953" s="147"/>
      <c r="AB953" s="147"/>
      <c r="AC953" s="147"/>
      <c r="AD953" s="147"/>
      <c r="AE953" s="147"/>
      <c r="AF953" s="147"/>
      <c r="AG953" s="147"/>
      <c r="AH953" s="147"/>
      <c r="AI953" s="147"/>
      <c r="AJ953" s="147"/>
      <c r="AK953" s="147"/>
      <c r="AL953" s="147"/>
      <c r="AM953" s="147"/>
      <c r="AN953" s="147"/>
      <c r="AO953" s="147"/>
      <c r="AP953" s="147"/>
      <c r="AQ953" s="147"/>
      <c r="AR953" s="147"/>
      <c r="AS953" s="147"/>
      <c r="AT953" s="147"/>
      <c r="AU953" s="147"/>
      <c r="AV953" s="147"/>
      <c r="AW953" s="147"/>
      <c r="AX953" s="147"/>
      <c r="AY953" s="147"/>
      <c r="AZ953" s="147"/>
      <c r="BA953" s="147"/>
      <c r="BB953" s="147"/>
      <c r="BC953" s="147"/>
      <c r="BD953" s="147"/>
      <c r="BE953" s="147"/>
      <c r="BF953" s="147"/>
      <c r="BG953" s="147"/>
      <c r="BH953" s="147"/>
      <c r="BI953" s="147"/>
      <c r="BJ953" s="147"/>
      <c r="BK953" s="147"/>
      <c r="BL953" s="147"/>
      <c r="BM953" s="147"/>
      <c r="BN953" s="147"/>
      <c r="BO953" s="147"/>
      <c r="BP953" s="147"/>
      <c r="BQ953" s="147"/>
      <c r="BR953" s="147"/>
      <c r="BS953" s="147"/>
      <c r="BT953" s="147"/>
      <c r="BU953" s="147"/>
      <c r="BV953" s="147"/>
      <c r="BW953" s="147"/>
      <c r="BX953" s="147"/>
      <c r="BY953" s="147"/>
      <c r="BZ953" s="147"/>
      <c r="CA953" s="147"/>
      <c r="CB953" s="147"/>
      <c r="CC953" s="147"/>
      <c r="CD953" s="147"/>
      <c r="CE953" s="147"/>
      <c r="CF953" s="147"/>
      <c r="CG953" s="147"/>
      <c r="CH953" s="147"/>
      <c r="CI953" s="147"/>
      <c r="CJ953" s="147"/>
      <c r="CK953" s="147"/>
    </row>
    <row r="954" spans="1:89">
      <c r="A954" s="147"/>
      <c r="B954" s="147"/>
      <c r="C954" s="147"/>
      <c r="D954" s="147"/>
      <c r="E954" s="147"/>
      <c r="F954" s="147"/>
      <c r="G954" s="147"/>
      <c r="H954" s="147"/>
      <c r="I954" s="147"/>
      <c r="J954" s="147"/>
      <c r="K954" s="147"/>
      <c r="L954" s="147"/>
      <c r="M954" s="147"/>
      <c r="N954" s="147"/>
      <c r="O954" s="158"/>
      <c r="P954" s="147"/>
      <c r="Q954" s="147"/>
      <c r="R954" s="147"/>
      <c r="S954" s="147"/>
      <c r="T954" s="147"/>
      <c r="U954" s="147"/>
      <c r="V954" s="147"/>
      <c r="W954" s="147"/>
      <c r="X954" s="147"/>
      <c r="Y954" s="147"/>
      <c r="Z954" s="147"/>
      <c r="AA954" s="147"/>
      <c r="AB954" s="147"/>
      <c r="AC954" s="147"/>
      <c r="AD954" s="147"/>
      <c r="AE954" s="147"/>
      <c r="AF954" s="147"/>
      <c r="AG954" s="147"/>
      <c r="AH954" s="147"/>
      <c r="AI954" s="147"/>
      <c r="AJ954" s="147"/>
      <c r="AK954" s="147"/>
      <c r="AL954" s="147"/>
      <c r="AM954" s="147"/>
      <c r="AN954" s="147"/>
      <c r="AO954" s="147"/>
      <c r="AP954" s="147"/>
      <c r="AQ954" s="147"/>
      <c r="AR954" s="147"/>
      <c r="AS954" s="147"/>
      <c r="AT954" s="147"/>
      <c r="AU954" s="147"/>
      <c r="AV954" s="147"/>
      <c r="AW954" s="147"/>
      <c r="AX954" s="147"/>
      <c r="AY954" s="147"/>
      <c r="AZ954" s="147"/>
      <c r="BA954" s="147"/>
      <c r="BB954" s="147"/>
      <c r="BC954" s="147"/>
      <c r="BD954" s="147"/>
      <c r="BE954" s="147"/>
      <c r="BF954" s="147"/>
      <c r="BG954" s="147"/>
      <c r="BH954" s="147"/>
      <c r="BI954" s="147"/>
      <c r="BJ954" s="147"/>
      <c r="BK954" s="147"/>
      <c r="BL954" s="147"/>
      <c r="BM954" s="147"/>
      <c r="BN954" s="147"/>
      <c r="BO954" s="147"/>
      <c r="BP954" s="147"/>
      <c r="BQ954" s="147"/>
      <c r="BR954" s="147"/>
      <c r="BS954" s="147"/>
      <c r="BT954" s="147"/>
      <c r="BU954" s="147"/>
      <c r="BV954" s="147"/>
      <c r="BW954" s="147"/>
      <c r="BX954" s="147"/>
      <c r="BY954" s="147"/>
      <c r="BZ954" s="147"/>
      <c r="CA954" s="147"/>
      <c r="CB954" s="147"/>
      <c r="CC954" s="147"/>
      <c r="CD954" s="147"/>
      <c r="CE954" s="147"/>
      <c r="CF954" s="147"/>
      <c r="CG954" s="147"/>
      <c r="CH954" s="147"/>
      <c r="CI954" s="147"/>
      <c r="CJ954" s="147"/>
      <c r="CK954" s="147"/>
    </row>
    <row r="955" spans="1:89">
      <c r="A955" s="147"/>
      <c r="B955" s="147"/>
      <c r="C955" s="147"/>
      <c r="D955" s="147"/>
      <c r="E955" s="147"/>
      <c r="F955" s="147"/>
      <c r="G955" s="147"/>
      <c r="H955" s="147"/>
      <c r="I955" s="147"/>
      <c r="J955" s="147"/>
      <c r="K955" s="147"/>
      <c r="L955" s="147"/>
      <c r="M955" s="147"/>
      <c r="N955" s="147"/>
      <c r="O955" s="158"/>
      <c r="P955" s="147"/>
      <c r="Q955" s="147"/>
      <c r="R955" s="147"/>
      <c r="S955" s="147"/>
      <c r="T955" s="147"/>
      <c r="U955" s="147"/>
      <c r="V955" s="147"/>
      <c r="W955" s="147"/>
      <c r="X955" s="147"/>
      <c r="Y955" s="147"/>
      <c r="Z955" s="147"/>
      <c r="AA955" s="147"/>
      <c r="AB955" s="147"/>
      <c r="AC955" s="147"/>
      <c r="AD955" s="147"/>
      <c r="AE955" s="147"/>
      <c r="AF955" s="147"/>
      <c r="AG955" s="147"/>
      <c r="AH955" s="147"/>
      <c r="AI955" s="147"/>
      <c r="AJ955" s="147"/>
      <c r="AK955" s="147"/>
      <c r="AL955" s="147"/>
      <c r="AM955" s="147"/>
      <c r="AN955" s="147"/>
      <c r="AO955" s="147"/>
      <c r="AP955" s="147"/>
      <c r="AQ955" s="147"/>
      <c r="AR955" s="147"/>
      <c r="AS955" s="147"/>
      <c r="AT955" s="147"/>
      <c r="AU955" s="147"/>
      <c r="AV955" s="147"/>
      <c r="AW955" s="147"/>
      <c r="AX955" s="147"/>
      <c r="AY955" s="147"/>
      <c r="AZ955" s="147"/>
      <c r="BA955" s="147"/>
      <c r="BB955" s="147"/>
      <c r="BC955" s="147"/>
      <c r="BD955" s="147"/>
      <c r="BE955" s="147"/>
      <c r="BF955" s="147"/>
      <c r="BG955" s="147"/>
      <c r="BH955" s="147"/>
      <c r="BI955" s="147"/>
      <c r="BJ955" s="147"/>
      <c r="BK955" s="147"/>
      <c r="BL955" s="147"/>
      <c r="BM955" s="147"/>
      <c r="BN955" s="147"/>
      <c r="BO955" s="147"/>
      <c r="BP955" s="147"/>
      <c r="BQ955" s="147"/>
      <c r="BR955" s="147"/>
      <c r="BS955" s="147"/>
      <c r="BT955" s="147"/>
      <c r="BU955" s="147"/>
      <c r="BV955" s="147"/>
      <c r="BW955" s="147"/>
      <c r="BX955" s="147"/>
      <c r="BY955" s="147"/>
      <c r="BZ955" s="147"/>
      <c r="CA955" s="147"/>
      <c r="CB955" s="147"/>
      <c r="CC955" s="147"/>
      <c r="CD955" s="147"/>
      <c r="CE955" s="147"/>
      <c r="CF955" s="147"/>
      <c r="CG955" s="147"/>
      <c r="CH955" s="147"/>
      <c r="CI955" s="147"/>
      <c r="CJ955" s="147"/>
      <c r="CK955" s="147"/>
    </row>
    <row r="956" spans="1:89">
      <c r="A956" s="147"/>
      <c r="B956" s="147"/>
      <c r="C956" s="147"/>
      <c r="D956" s="147"/>
      <c r="E956" s="147"/>
      <c r="F956" s="147"/>
      <c r="G956" s="147"/>
      <c r="H956" s="147"/>
      <c r="I956" s="147"/>
      <c r="J956" s="147"/>
      <c r="K956" s="147"/>
      <c r="L956" s="147"/>
      <c r="M956" s="147"/>
      <c r="N956" s="147"/>
      <c r="O956" s="158"/>
      <c r="P956" s="147"/>
      <c r="Q956" s="147"/>
      <c r="R956" s="147"/>
      <c r="S956" s="147"/>
      <c r="T956" s="147"/>
      <c r="U956" s="147"/>
      <c r="V956" s="147"/>
      <c r="W956" s="147"/>
      <c r="X956" s="147"/>
      <c r="Y956" s="147"/>
      <c r="Z956" s="147"/>
      <c r="AA956" s="147"/>
      <c r="AB956" s="147"/>
      <c r="AC956" s="147"/>
      <c r="AD956" s="147"/>
      <c r="AE956" s="147"/>
      <c r="AF956" s="147"/>
      <c r="AG956" s="147"/>
      <c r="AH956" s="147"/>
      <c r="AI956" s="147"/>
      <c r="AJ956" s="147"/>
      <c r="AK956" s="147"/>
      <c r="AL956" s="147"/>
      <c r="AM956" s="147"/>
      <c r="AN956" s="147"/>
      <c r="AO956" s="147"/>
      <c r="AP956" s="147"/>
      <c r="AQ956" s="147"/>
      <c r="AR956" s="147"/>
      <c r="AS956" s="147"/>
      <c r="AT956" s="147"/>
      <c r="AU956" s="147"/>
      <c r="AV956" s="147"/>
      <c r="AW956" s="147"/>
      <c r="AX956" s="147"/>
      <c r="AY956" s="147"/>
      <c r="AZ956" s="147"/>
      <c r="BA956" s="147"/>
      <c r="BB956" s="147"/>
      <c r="BC956" s="147"/>
      <c r="BD956" s="147"/>
      <c r="BE956" s="147"/>
      <c r="BF956" s="147"/>
      <c r="BG956" s="147"/>
      <c r="BH956" s="147"/>
      <c r="BI956" s="147"/>
      <c r="BJ956" s="147"/>
      <c r="BK956" s="147"/>
      <c r="BL956" s="147"/>
      <c r="BM956" s="147"/>
      <c r="BN956" s="147"/>
      <c r="BO956" s="147"/>
      <c r="BP956" s="147"/>
      <c r="BQ956" s="147"/>
      <c r="BR956" s="147"/>
      <c r="BS956" s="147"/>
      <c r="BT956" s="147"/>
      <c r="BU956" s="147"/>
      <c r="BV956" s="147"/>
      <c r="BW956" s="147"/>
      <c r="BX956" s="147"/>
      <c r="BY956" s="147"/>
      <c r="BZ956" s="147"/>
      <c r="CA956" s="147"/>
      <c r="CB956" s="147"/>
      <c r="CC956" s="147"/>
      <c r="CD956" s="147"/>
      <c r="CE956" s="147"/>
      <c r="CF956" s="147"/>
      <c r="CG956" s="147"/>
      <c r="CH956" s="147"/>
      <c r="CI956" s="147"/>
      <c r="CJ956" s="147"/>
      <c r="CK956" s="147"/>
    </row>
    <row r="957" spans="1:89">
      <c r="A957" s="147"/>
      <c r="B957" s="147"/>
      <c r="C957" s="147"/>
      <c r="D957" s="147"/>
      <c r="E957" s="147"/>
      <c r="F957" s="147"/>
      <c r="G957" s="147"/>
      <c r="H957" s="147"/>
      <c r="I957" s="147"/>
      <c r="J957" s="147"/>
      <c r="K957" s="147"/>
      <c r="L957" s="147"/>
      <c r="M957" s="147"/>
      <c r="N957" s="147"/>
      <c r="O957" s="158"/>
      <c r="P957" s="147"/>
      <c r="Q957" s="147"/>
      <c r="R957" s="147"/>
      <c r="S957" s="147"/>
      <c r="T957" s="147"/>
      <c r="U957" s="147"/>
      <c r="V957" s="147"/>
      <c r="W957" s="147"/>
      <c r="X957" s="147"/>
      <c r="Y957" s="147"/>
      <c r="Z957" s="147"/>
      <c r="AA957" s="147"/>
      <c r="AB957" s="147"/>
      <c r="AC957" s="147"/>
      <c r="AD957" s="147"/>
      <c r="AE957" s="147"/>
      <c r="AF957" s="147"/>
      <c r="AG957" s="147"/>
      <c r="AH957" s="147"/>
      <c r="AI957" s="147"/>
      <c r="AJ957" s="147"/>
      <c r="AK957" s="147"/>
      <c r="AL957" s="147"/>
      <c r="AM957" s="147"/>
      <c r="AN957" s="147"/>
      <c r="AO957" s="147"/>
      <c r="AP957" s="147"/>
      <c r="AQ957" s="147"/>
      <c r="AR957" s="147"/>
      <c r="AS957" s="147"/>
      <c r="AT957" s="147"/>
      <c r="AU957" s="147"/>
      <c r="AV957" s="147"/>
      <c r="AW957" s="147"/>
      <c r="AX957" s="147"/>
      <c r="AY957" s="147"/>
      <c r="AZ957" s="147"/>
      <c r="BA957" s="147"/>
      <c r="BB957" s="147"/>
      <c r="BC957" s="147"/>
      <c r="BD957" s="147"/>
      <c r="BE957" s="147"/>
      <c r="BF957" s="147"/>
      <c r="BG957" s="147"/>
      <c r="BH957" s="147"/>
      <c r="BI957" s="147"/>
      <c r="BJ957" s="147"/>
      <c r="BK957" s="147"/>
      <c r="BL957" s="147"/>
      <c r="BM957" s="147"/>
      <c r="BN957" s="147"/>
      <c r="BO957" s="147"/>
      <c r="BP957" s="147"/>
      <c r="BQ957" s="147"/>
      <c r="BR957" s="147"/>
      <c r="BS957" s="147"/>
      <c r="BT957" s="147"/>
      <c r="BU957" s="147"/>
      <c r="BV957" s="147"/>
      <c r="BW957" s="147"/>
      <c r="BX957" s="147"/>
      <c r="BY957" s="147"/>
      <c r="BZ957" s="147"/>
      <c r="CA957" s="147"/>
      <c r="CB957" s="147"/>
      <c r="CC957" s="147"/>
      <c r="CD957" s="147"/>
      <c r="CE957" s="147"/>
      <c r="CF957" s="147"/>
      <c r="CG957" s="147"/>
      <c r="CH957" s="147"/>
      <c r="CI957" s="147"/>
      <c r="CJ957" s="147"/>
      <c r="CK957" s="147"/>
    </row>
    <row r="958" spans="1:89">
      <c r="A958" s="147"/>
      <c r="B958" s="147"/>
      <c r="C958" s="147"/>
      <c r="D958" s="147"/>
      <c r="E958" s="147"/>
      <c r="F958" s="147"/>
      <c r="G958" s="147"/>
      <c r="H958" s="147"/>
      <c r="I958" s="147"/>
      <c r="J958" s="147"/>
      <c r="K958" s="147"/>
      <c r="L958" s="147"/>
      <c r="M958" s="147"/>
      <c r="N958" s="147"/>
      <c r="O958" s="158"/>
      <c r="P958" s="147"/>
      <c r="Q958" s="147"/>
      <c r="R958" s="147"/>
      <c r="S958" s="147"/>
      <c r="T958" s="147"/>
      <c r="U958" s="147"/>
      <c r="V958" s="147"/>
      <c r="W958" s="147"/>
      <c r="X958" s="147"/>
      <c r="Y958" s="147"/>
      <c r="Z958" s="147"/>
      <c r="AA958" s="147"/>
      <c r="AB958" s="147"/>
      <c r="AC958" s="147"/>
      <c r="AD958" s="147"/>
      <c r="AE958" s="147"/>
      <c r="AF958" s="147"/>
      <c r="AG958" s="147"/>
      <c r="AH958" s="147"/>
      <c r="AI958" s="147"/>
      <c r="AJ958" s="147"/>
      <c r="AK958" s="147"/>
      <c r="AL958" s="147"/>
      <c r="AM958" s="147"/>
      <c r="AN958" s="147"/>
      <c r="AO958" s="147"/>
      <c r="AP958" s="147"/>
      <c r="AQ958" s="147"/>
      <c r="AR958" s="147"/>
      <c r="AS958" s="147"/>
      <c r="AT958" s="147"/>
      <c r="AU958" s="147"/>
      <c r="AV958" s="147"/>
      <c r="AW958" s="147"/>
      <c r="AX958" s="147"/>
      <c r="AY958" s="147"/>
      <c r="AZ958" s="147"/>
      <c r="BA958" s="147"/>
      <c r="BB958" s="147"/>
      <c r="BC958" s="147"/>
      <c r="BD958" s="147"/>
      <c r="BE958" s="147"/>
      <c r="BF958" s="147"/>
      <c r="BG958" s="147"/>
      <c r="BH958" s="147"/>
      <c r="BI958" s="147"/>
      <c r="BJ958" s="147"/>
      <c r="BK958" s="147"/>
      <c r="BL958" s="147"/>
      <c r="BM958" s="147"/>
      <c r="BN958" s="147"/>
      <c r="BO958" s="147"/>
      <c r="BP958" s="147"/>
      <c r="BQ958" s="147"/>
      <c r="BR958" s="147"/>
      <c r="BS958" s="147"/>
      <c r="BT958" s="147"/>
      <c r="BU958" s="147"/>
      <c r="BV958" s="147"/>
      <c r="BW958" s="147"/>
      <c r="BX958" s="147"/>
      <c r="BY958" s="147"/>
      <c r="BZ958" s="147"/>
      <c r="CA958" s="147"/>
      <c r="CB958" s="147"/>
      <c r="CC958" s="147"/>
      <c r="CD958" s="147"/>
      <c r="CE958" s="147"/>
      <c r="CF958" s="147"/>
      <c r="CG958" s="147"/>
      <c r="CH958" s="147"/>
      <c r="CI958" s="147"/>
      <c r="CJ958" s="147"/>
      <c r="CK958" s="147"/>
    </row>
    <row r="959" spans="1:89">
      <c r="A959" s="147"/>
      <c r="B959" s="147"/>
      <c r="C959" s="147"/>
      <c r="D959" s="147"/>
      <c r="E959" s="147"/>
      <c r="F959" s="147"/>
      <c r="G959" s="147"/>
      <c r="H959" s="147"/>
      <c r="I959" s="147"/>
      <c r="J959" s="147"/>
      <c r="K959" s="147"/>
      <c r="L959" s="147"/>
      <c r="M959" s="147"/>
      <c r="N959" s="147"/>
      <c r="O959" s="158"/>
      <c r="P959" s="147"/>
      <c r="Q959" s="147"/>
      <c r="R959" s="147"/>
      <c r="S959" s="147"/>
      <c r="T959" s="147"/>
      <c r="U959" s="147"/>
      <c r="V959" s="147"/>
      <c r="W959" s="147"/>
      <c r="X959" s="147"/>
      <c r="Y959" s="147"/>
      <c r="Z959" s="147"/>
      <c r="AA959" s="147"/>
      <c r="AB959" s="147"/>
      <c r="AC959" s="147"/>
      <c r="AD959" s="147"/>
      <c r="AE959" s="147"/>
      <c r="AF959" s="147"/>
      <c r="AG959" s="147"/>
      <c r="AH959" s="147"/>
      <c r="AI959" s="147"/>
      <c r="AJ959" s="147"/>
      <c r="AK959" s="147"/>
      <c r="AL959" s="147"/>
      <c r="AM959" s="147"/>
      <c r="AN959" s="147"/>
      <c r="AO959" s="147"/>
      <c r="AP959" s="147"/>
      <c r="AQ959" s="147"/>
      <c r="AR959" s="147"/>
      <c r="AS959" s="147"/>
      <c r="AT959" s="147"/>
      <c r="AU959" s="147"/>
      <c r="AV959" s="147"/>
      <c r="AW959" s="147"/>
      <c r="AX959" s="147"/>
      <c r="AY959" s="147"/>
      <c r="AZ959" s="147"/>
      <c r="BA959" s="147"/>
      <c r="BB959" s="147"/>
      <c r="BC959" s="147"/>
      <c r="BD959" s="147"/>
      <c r="BE959" s="147"/>
      <c r="BF959" s="147"/>
      <c r="BG959" s="147"/>
      <c r="BH959" s="147"/>
      <c r="BI959" s="147"/>
      <c r="BJ959" s="147"/>
      <c r="BK959" s="147"/>
      <c r="BL959" s="147"/>
      <c r="BM959" s="147"/>
      <c r="BN959" s="147"/>
      <c r="BO959" s="147"/>
      <c r="BP959" s="147"/>
      <c r="BQ959" s="147"/>
      <c r="BR959" s="147"/>
      <c r="BS959" s="147"/>
      <c r="BT959" s="147"/>
      <c r="BU959" s="147"/>
      <c r="BV959" s="147"/>
      <c r="BW959" s="147"/>
      <c r="BX959" s="147"/>
      <c r="BY959" s="147"/>
      <c r="BZ959" s="147"/>
      <c r="CA959" s="147"/>
      <c r="CB959" s="147"/>
      <c r="CC959" s="147"/>
      <c r="CD959" s="147"/>
      <c r="CE959" s="147"/>
      <c r="CF959" s="147"/>
      <c r="CG959" s="147"/>
      <c r="CH959" s="147"/>
      <c r="CI959" s="147"/>
      <c r="CJ959" s="147"/>
      <c r="CK959" s="147"/>
    </row>
    <row r="960" spans="1:89">
      <c r="A960" s="147"/>
      <c r="B960" s="147"/>
      <c r="C960" s="147"/>
      <c r="D960" s="147"/>
      <c r="E960" s="147"/>
      <c r="F960" s="147"/>
      <c r="G960" s="147"/>
      <c r="H960" s="147"/>
      <c r="I960" s="147"/>
      <c r="J960" s="147"/>
      <c r="K960" s="147"/>
      <c r="L960" s="147"/>
      <c r="M960" s="147"/>
      <c r="N960" s="147"/>
      <c r="O960" s="158"/>
      <c r="P960" s="147"/>
      <c r="Q960" s="147"/>
      <c r="R960" s="147"/>
      <c r="S960" s="147"/>
      <c r="T960" s="147"/>
      <c r="U960" s="147"/>
      <c r="V960" s="147"/>
      <c r="W960" s="147"/>
      <c r="X960" s="147"/>
      <c r="Y960" s="147"/>
      <c r="Z960" s="147"/>
      <c r="AA960" s="147"/>
      <c r="AB960" s="147"/>
      <c r="AC960" s="147"/>
      <c r="AD960" s="147"/>
      <c r="AE960" s="147"/>
      <c r="AF960" s="147"/>
      <c r="AG960" s="147"/>
      <c r="AH960" s="147"/>
      <c r="AI960" s="147"/>
      <c r="AJ960" s="147"/>
      <c r="AK960" s="147"/>
      <c r="AL960" s="147"/>
      <c r="AM960" s="147"/>
      <c r="AN960" s="147"/>
      <c r="AO960" s="147"/>
      <c r="AP960" s="147"/>
      <c r="AQ960" s="147"/>
      <c r="AR960" s="147"/>
      <c r="AS960" s="147"/>
      <c r="AT960" s="147"/>
      <c r="AU960" s="147"/>
      <c r="AV960" s="147"/>
      <c r="AW960" s="147"/>
      <c r="AX960" s="147"/>
      <c r="AY960" s="147"/>
      <c r="AZ960" s="147"/>
      <c r="BA960" s="147"/>
      <c r="BB960" s="147"/>
      <c r="BC960" s="147"/>
      <c r="BD960" s="147"/>
      <c r="BE960" s="147"/>
      <c r="BF960" s="147"/>
      <c r="BG960" s="147"/>
      <c r="BH960" s="147"/>
      <c r="BI960" s="147"/>
      <c r="BJ960" s="147"/>
      <c r="BK960" s="147"/>
      <c r="BL960" s="147"/>
      <c r="BM960" s="147"/>
      <c r="BN960" s="147"/>
      <c r="BO960" s="147"/>
      <c r="BP960" s="147"/>
      <c r="BQ960" s="147"/>
      <c r="BR960" s="147"/>
      <c r="BS960" s="147"/>
      <c r="BT960" s="147"/>
      <c r="BU960" s="147"/>
      <c r="BV960" s="147"/>
      <c r="BW960" s="147"/>
      <c r="BX960" s="147"/>
      <c r="BY960" s="147"/>
      <c r="BZ960" s="147"/>
      <c r="CA960" s="147"/>
      <c r="CB960" s="147"/>
      <c r="CC960" s="147"/>
      <c r="CD960" s="147"/>
      <c r="CE960" s="147"/>
      <c r="CF960" s="147"/>
      <c r="CG960" s="147"/>
      <c r="CH960" s="147"/>
      <c r="CI960" s="147"/>
      <c r="CJ960" s="147"/>
      <c r="CK960" s="147"/>
    </row>
    <row r="961" spans="1:89">
      <c r="A961" s="147"/>
      <c r="B961" s="147"/>
      <c r="C961" s="147"/>
      <c r="D961" s="147"/>
      <c r="E961" s="147"/>
      <c r="F961" s="147"/>
      <c r="G961" s="147"/>
      <c r="H961" s="147"/>
      <c r="I961" s="147"/>
      <c r="J961" s="147"/>
      <c r="K961" s="147"/>
      <c r="L961" s="147"/>
      <c r="M961" s="147"/>
      <c r="N961" s="147"/>
      <c r="O961" s="158"/>
      <c r="P961" s="147"/>
      <c r="Q961" s="147"/>
      <c r="R961" s="147"/>
      <c r="S961" s="147"/>
      <c r="T961" s="147"/>
      <c r="U961" s="147"/>
      <c r="V961" s="147"/>
      <c r="W961" s="147"/>
      <c r="X961" s="147"/>
      <c r="Y961" s="147"/>
      <c r="Z961" s="147"/>
      <c r="AA961" s="147"/>
      <c r="AB961" s="147"/>
      <c r="AC961" s="147"/>
      <c r="AD961" s="147"/>
      <c r="AE961" s="147"/>
      <c r="AF961" s="147"/>
      <c r="AG961" s="147"/>
      <c r="AH961" s="147"/>
      <c r="AI961" s="147"/>
      <c r="AJ961" s="147"/>
      <c r="AK961" s="147"/>
      <c r="AL961" s="147"/>
      <c r="AM961" s="147"/>
      <c r="AN961" s="147"/>
      <c r="AO961" s="147"/>
      <c r="AP961" s="147"/>
      <c r="AQ961" s="147"/>
      <c r="AR961" s="147"/>
      <c r="AS961" s="147"/>
      <c r="AT961" s="147"/>
      <c r="AU961" s="147"/>
      <c r="AV961" s="147"/>
      <c r="AW961" s="147"/>
      <c r="AX961" s="147"/>
      <c r="AY961" s="147"/>
      <c r="AZ961" s="147"/>
      <c r="BA961" s="147"/>
      <c r="BB961" s="147"/>
      <c r="BC961" s="147"/>
      <c r="BD961" s="147"/>
      <c r="BE961" s="147"/>
      <c r="BF961" s="147"/>
      <c r="BG961" s="147"/>
      <c r="BH961" s="147"/>
      <c r="BI961" s="147"/>
      <c r="BJ961" s="147"/>
      <c r="BK961" s="147"/>
      <c r="BL961" s="147"/>
      <c r="BM961" s="147"/>
      <c r="BN961" s="147"/>
      <c r="BO961" s="147"/>
      <c r="BP961" s="147"/>
      <c r="BQ961" s="147"/>
      <c r="BR961" s="147"/>
      <c r="BS961" s="147"/>
      <c r="BT961" s="147"/>
      <c r="BU961" s="147"/>
      <c r="BV961" s="147"/>
      <c r="BW961" s="147"/>
      <c r="BX961" s="147"/>
      <c r="BY961" s="147"/>
      <c r="BZ961" s="147"/>
      <c r="CA961" s="147"/>
      <c r="CB961" s="147"/>
      <c r="CC961" s="147"/>
      <c r="CD961" s="147"/>
      <c r="CE961" s="147"/>
      <c r="CF961" s="147"/>
      <c r="CG961" s="147"/>
      <c r="CH961" s="147"/>
      <c r="CI961" s="147"/>
      <c r="CJ961" s="147"/>
      <c r="CK961" s="147"/>
    </row>
    <row r="962" spans="1:89">
      <c r="A962" s="147"/>
      <c r="B962" s="147"/>
      <c r="C962" s="147"/>
      <c r="D962" s="147"/>
      <c r="E962" s="147"/>
      <c r="F962" s="147"/>
      <c r="G962" s="147"/>
      <c r="H962" s="147"/>
      <c r="I962" s="147"/>
      <c r="J962" s="147"/>
      <c r="K962" s="147"/>
      <c r="L962" s="147"/>
      <c r="M962" s="147"/>
      <c r="N962" s="147"/>
      <c r="O962" s="158"/>
      <c r="P962" s="147"/>
      <c r="Q962" s="147"/>
      <c r="R962" s="147"/>
      <c r="S962" s="147"/>
      <c r="T962" s="147"/>
      <c r="U962" s="147"/>
      <c r="V962" s="147"/>
      <c r="W962" s="147"/>
      <c r="X962" s="147"/>
      <c r="Y962" s="147"/>
      <c r="Z962" s="147"/>
      <c r="AA962" s="147"/>
      <c r="AB962" s="147"/>
      <c r="AC962" s="147"/>
      <c r="AD962" s="147"/>
      <c r="AE962" s="147"/>
      <c r="AF962" s="147"/>
      <c r="AG962" s="147"/>
      <c r="AH962" s="147"/>
      <c r="AI962" s="147"/>
      <c r="AJ962" s="147"/>
      <c r="AK962" s="147"/>
      <c r="AL962" s="147"/>
      <c r="AM962" s="147"/>
      <c r="AN962" s="147"/>
      <c r="AO962" s="147"/>
      <c r="AP962" s="147"/>
      <c r="AQ962" s="147"/>
      <c r="AR962" s="147"/>
      <c r="AS962" s="147"/>
      <c r="AT962" s="147"/>
      <c r="AU962" s="147"/>
      <c r="AV962" s="147"/>
      <c r="AW962" s="147"/>
      <c r="AX962" s="147"/>
      <c r="AY962" s="147"/>
      <c r="AZ962" s="147"/>
      <c r="BA962" s="147"/>
      <c r="BB962" s="147"/>
      <c r="BC962" s="147"/>
      <c r="BD962" s="147"/>
      <c r="BE962" s="147"/>
      <c r="BF962" s="147"/>
      <c r="BG962" s="147"/>
      <c r="BH962" s="147"/>
      <c r="BI962" s="147"/>
      <c r="BJ962" s="147"/>
      <c r="BK962" s="147"/>
      <c r="BL962" s="147"/>
      <c r="BM962" s="147"/>
      <c r="BN962" s="147"/>
      <c r="BO962" s="147"/>
      <c r="BP962" s="147"/>
      <c r="BQ962" s="147"/>
      <c r="BR962" s="147"/>
      <c r="BS962" s="147"/>
      <c r="BT962" s="147"/>
      <c r="BU962" s="147"/>
      <c r="BV962" s="147"/>
      <c r="BW962" s="147"/>
      <c r="BX962" s="147"/>
      <c r="BY962" s="147"/>
      <c r="BZ962" s="147"/>
      <c r="CA962" s="147"/>
      <c r="CB962" s="147"/>
      <c r="CC962" s="147"/>
      <c r="CD962" s="147"/>
      <c r="CE962" s="147"/>
      <c r="CF962" s="147"/>
      <c r="CG962" s="147"/>
      <c r="CH962" s="147"/>
      <c r="CI962" s="147"/>
      <c r="CJ962" s="147"/>
      <c r="CK962" s="147"/>
    </row>
    <row r="963" spans="1:89">
      <c r="A963" s="147"/>
      <c r="B963" s="147"/>
      <c r="C963" s="147"/>
      <c r="D963" s="147"/>
      <c r="E963" s="147"/>
      <c r="F963" s="147"/>
      <c r="G963" s="147"/>
      <c r="H963" s="147"/>
      <c r="I963" s="147"/>
      <c r="J963" s="147"/>
      <c r="K963" s="147"/>
      <c r="L963" s="147"/>
      <c r="M963" s="147"/>
      <c r="N963" s="147"/>
      <c r="O963" s="158"/>
      <c r="P963" s="147"/>
      <c r="Q963" s="147"/>
      <c r="R963" s="147"/>
      <c r="S963" s="147"/>
      <c r="T963" s="147"/>
      <c r="U963" s="147"/>
      <c r="V963" s="147"/>
      <c r="W963" s="147"/>
      <c r="X963" s="147"/>
      <c r="Y963" s="147"/>
      <c r="Z963" s="147"/>
      <c r="AA963" s="147"/>
      <c r="AB963" s="147"/>
      <c r="AC963" s="147"/>
      <c r="AD963" s="147"/>
      <c r="AE963" s="147"/>
      <c r="AF963" s="147"/>
      <c r="AG963" s="147"/>
      <c r="AH963" s="147"/>
      <c r="AI963" s="147"/>
      <c r="AJ963" s="147"/>
      <c r="AK963" s="147"/>
      <c r="AL963" s="147"/>
      <c r="AM963" s="147"/>
      <c r="AN963" s="147"/>
      <c r="AO963" s="147"/>
      <c r="AP963" s="147"/>
      <c r="AQ963" s="147"/>
      <c r="AR963" s="147"/>
      <c r="AS963" s="147"/>
      <c r="AT963" s="147"/>
      <c r="AU963" s="147"/>
      <c r="AV963" s="147"/>
      <c r="AW963" s="147"/>
      <c r="AX963" s="147"/>
      <c r="AY963" s="147"/>
      <c r="AZ963" s="147"/>
      <c r="BA963" s="147"/>
      <c r="BB963" s="147"/>
      <c r="BC963" s="147"/>
      <c r="BD963" s="147"/>
      <c r="BE963" s="147"/>
      <c r="BF963" s="147"/>
      <c r="BG963" s="147"/>
      <c r="BH963" s="147"/>
      <c r="BI963" s="147"/>
      <c r="BJ963" s="147"/>
      <c r="BK963" s="147"/>
      <c r="BL963" s="147"/>
      <c r="BM963" s="147"/>
      <c r="BN963" s="147"/>
      <c r="BO963" s="147"/>
      <c r="BP963" s="147"/>
      <c r="BQ963" s="147"/>
      <c r="BR963" s="147"/>
      <c r="BS963" s="147"/>
      <c r="BT963" s="147"/>
      <c r="BU963" s="147"/>
      <c r="BV963" s="147"/>
      <c r="BW963" s="147"/>
      <c r="BX963" s="147"/>
      <c r="BY963" s="147"/>
      <c r="BZ963" s="147"/>
      <c r="CA963" s="147"/>
      <c r="CB963" s="147"/>
      <c r="CC963" s="147"/>
      <c r="CD963" s="147"/>
      <c r="CE963" s="147"/>
      <c r="CF963" s="147"/>
      <c r="CG963" s="147"/>
      <c r="CH963" s="147"/>
      <c r="CI963" s="147"/>
      <c r="CJ963" s="147"/>
      <c r="CK963" s="147"/>
    </row>
    <row r="964" spans="1:89">
      <c r="A964" s="147"/>
      <c r="B964" s="147"/>
      <c r="C964" s="147"/>
      <c r="D964" s="147"/>
      <c r="E964" s="147"/>
      <c r="F964" s="147"/>
      <c r="G964" s="147"/>
      <c r="H964" s="147"/>
      <c r="I964" s="147"/>
      <c r="J964" s="147"/>
      <c r="K964" s="147"/>
      <c r="L964" s="147"/>
      <c r="M964" s="147"/>
      <c r="N964" s="147"/>
      <c r="O964" s="158"/>
      <c r="P964" s="147"/>
      <c r="Q964" s="147"/>
      <c r="R964" s="147"/>
      <c r="S964" s="147"/>
      <c r="T964" s="147"/>
      <c r="U964" s="147"/>
      <c r="V964" s="147"/>
      <c r="W964" s="147"/>
      <c r="X964" s="147"/>
      <c r="Y964" s="147"/>
      <c r="Z964" s="147"/>
      <c r="AA964" s="147"/>
      <c r="AB964" s="147"/>
      <c r="AC964" s="147"/>
      <c r="AD964" s="147"/>
      <c r="AE964" s="147"/>
      <c r="AF964" s="147"/>
      <c r="AG964" s="147"/>
      <c r="AH964" s="147"/>
      <c r="AI964" s="147"/>
      <c r="AJ964" s="147"/>
      <c r="AK964" s="147"/>
      <c r="AL964" s="147"/>
      <c r="AM964" s="147"/>
      <c r="AN964" s="147"/>
      <c r="AO964" s="147"/>
      <c r="AP964" s="147"/>
      <c r="AQ964" s="147"/>
      <c r="AR964" s="147"/>
      <c r="AS964" s="147"/>
      <c r="AT964" s="147"/>
      <c r="AU964" s="147"/>
      <c r="AV964" s="147"/>
      <c r="AW964" s="147"/>
      <c r="AX964" s="147"/>
      <c r="AY964" s="147"/>
      <c r="AZ964" s="147"/>
      <c r="BA964" s="147"/>
      <c r="BB964" s="147"/>
      <c r="BC964" s="147"/>
      <c r="BD964" s="147"/>
      <c r="BE964" s="147"/>
      <c r="BF964" s="147"/>
      <c r="BG964" s="147"/>
      <c r="BH964" s="147"/>
      <c r="BI964" s="147"/>
      <c r="BJ964" s="147"/>
      <c r="BK964" s="147"/>
      <c r="BL964" s="147"/>
      <c r="BM964" s="147"/>
      <c r="BN964" s="147"/>
      <c r="BO964" s="147"/>
      <c r="BP964" s="147"/>
      <c r="BQ964" s="147"/>
      <c r="BR964" s="147"/>
      <c r="BS964" s="147"/>
      <c r="BT964" s="147"/>
      <c r="BU964" s="147"/>
      <c r="BV964" s="147"/>
      <c r="BW964" s="147"/>
      <c r="BX964" s="147"/>
      <c r="BY964" s="147"/>
      <c r="BZ964" s="147"/>
      <c r="CA964" s="147"/>
      <c r="CB964" s="147"/>
      <c r="CC964" s="147"/>
      <c r="CD964" s="147"/>
      <c r="CE964" s="147"/>
      <c r="CF964" s="147"/>
      <c r="CG964" s="147"/>
      <c r="CH964" s="147"/>
      <c r="CI964" s="147"/>
      <c r="CJ964" s="147"/>
      <c r="CK964" s="147"/>
    </row>
    <row r="965" spans="1:89">
      <c r="A965" s="147"/>
      <c r="B965" s="147"/>
      <c r="C965" s="147"/>
      <c r="D965" s="147"/>
      <c r="E965" s="147"/>
      <c r="F965" s="147"/>
      <c r="G965" s="147"/>
      <c r="H965" s="147"/>
      <c r="I965" s="147"/>
      <c r="J965" s="147"/>
      <c r="K965" s="147"/>
      <c r="L965" s="147"/>
      <c r="M965" s="147"/>
      <c r="N965" s="147"/>
      <c r="O965" s="158"/>
      <c r="P965" s="147"/>
      <c r="Q965" s="147"/>
      <c r="R965" s="147"/>
      <c r="S965" s="147"/>
      <c r="T965" s="147"/>
      <c r="U965" s="147"/>
      <c r="V965" s="147"/>
      <c r="W965" s="147"/>
      <c r="X965" s="147"/>
      <c r="Y965" s="147"/>
      <c r="Z965" s="147"/>
      <c r="AA965" s="147"/>
      <c r="AB965" s="147"/>
      <c r="AC965" s="147"/>
      <c r="AD965" s="147"/>
      <c r="AE965" s="147"/>
      <c r="AF965" s="147"/>
      <c r="AG965" s="147"/>
      <c r="AH965" s="147"/>
      <c r="AI965" s="147"/>
      <c r="AJ965" s="147"/>
      <c r="AK965" s="147"/>
      <c r="AL965" s="147"/>
      <c r="AM965" s="147"/>
      <c r="AN965" s="147"/>
      <c r="AO965" s="147"/>
      <c r="AP965" s="147"/>
      <c r="AQ965" s="147"/>
      <c r="AR965" s="147"/>
      <c r="AS965" s="147"/>
      <c r="AT965" s="147"/>
      <c r="AU965" s="147"/>
      <c r="AV965" s="147"/>
      <c r="AW965" s="147"/>
      <c r="AX965" s="147"/>
      <c r="AY965" s="147"/>
      <c r="AZ965" s="147"/>
      <c r="BA965" s="147"/>
      <c r="BB965" s="147"/>
      <c r="BC965" s="147"/>
      <c r="BD965" s="147"/>
      <c r="BE965" s="147"/>
      <c r="BF965" s="147"/>
      <c r="BG965" s="147"/>
      <c r="BH965" s="147"/>
      <c r="BI965" s="147"/>
      <c r="BJ965" s="147"/>
      <c r="BK965" s="147"/>
      <c r="BL965" s="147"/>
      <c r="BM965" s="147"/>
      <c r="BN965" s="147"/>
      <c r="BO965" s="147"/>
      <c r="BP965" s="147"/>
      <c r="BQ965" s="147"/>
      <c r="BR965" s="147"/>
      <c r="BS965" s="147"/>
      <c r="BT965" s="147"/>
      <c r="BU965" s="147"/>
      <c r="BV965" s="147"/>
      <c r="BW965" s="147"/>
      <c r="BX965" s="147"/>
      <c r="BY965" s="147"/>
      <c r="BZ965" s="147"/>
      <c r="CA965" s="147"/>
      <c r="CB965" s="147"/>
      <c r="CC965" s="147"/>
      <c r="CD965" s="147"/>
      <c r="CE965" s="147"/>
      <c r="CF965" s="147"/>
      <c r="CG965" s="147"/>
      <c r="CH965" s="147"/>
      <c r="CI965" s="147"/>
      <c r="CJ965" s="147"/>
      <c r="CK965" s="147"/>
    </row>
    <row r="966" spans="1:89">
      <c r="A966" s="147"/>
      <c r="B966" s="147"/>
      <c r="C966" s="147"/>
      <c r="D966" s="147"/>
      <c r="E966" s="147"/>
      <c r="F966" s="147"/>
      <c r="G966" s="147"/>
      <c r="H966" s="147"/>
      <c r="I966" s="147"/>
      <c r="J966" s="147"/>
      <c r="K966" s="147"/>
      <c r="L966" s="147"/>
      <c r="M966" s="147"/>
      <c r="N966" s="147"/>
      <c r="O966" s="158"/>
      <c r="P966" s="147"/>
      <c r="Q966" s="147"/>
      <c r="R966" s="147"/>
      <c r="S966" s="147"/>
      <c r="T966" s="147"/>
      <c r="U966" s="147"/>
      <c r="V966" s="147"/>
      <c r="W966" s="147"/>
      <c r="X966" s="147"/>
      <c r="Y966" s="147"/>
      <c r="Z966" s="147"/>
      <c r="AA966" s="147"/>
      <c r="AB966" s="147"/>
      <c r="AC966" s="147"/>
      <c r="AD966" s="147"/>
      <c r="AE966" s="147"/>
      <c r="AF966" s="147"/>
      <c r="AG966" s="147"/>
      <c r="AH966" s="147"/>
      <c r="AI966" s="147"/>
      <c r="AJ966" s="147"/>
      <c r="AK966" s="147"/>
      <c r="AL966" s="147"/>
      <c r="AM966" s="147"/>
      <c r="AN966" s="147"/>
      <c r="AO966" s="147"/>
      <c r="AP966" s="147"/>
      <c r="AQ966" s="147"/>
      <c r="AR966" s="147"/>
      <c r="AS966" s="147"/>
      <c r="AT966" s="147"/>
      <c r="AU966" s="147"/>
      <c r="AV966" s="147"/>
      <c r="AW966" s="147"/>
      <c r="AX966" s="147"/>
      <c r="AY966" s="147"/>
      <c r="AZ966" s="147"/>
      <c r="BA966" s="147"/>
      <c r="BB966" s="147"/>
      <c r="BC966" s="147"/>
      <c r="BD966" s="147"/>
      <c r="BE966" s="147"/>
      <c r="BF966" s="147"/>
      <c r="BG966" s="147"/>
      <c r="BH966" s="147"/>
      <c r="BI966" s="147"/>
      <c r="BJ966" s="147"/>
      <c r="BK966" s="147"/>
      <c r="BL966" s="147"/>
      <c r="BM966" s="147"/>
      <c r="BN966" s="147"/>
      <c r="BO966" s="147"/>
      <c r="BP966" s="147"/>
      <c r="BQ966" s="147"/>
      <c r="BR966" s="147"/>
      <c r="BS966" s="147"/>
      <c r="BT966" s="147"/>
      <c r="BU966" s="147"/>
      <c r="BV966" s="147"/>
      <c r="BW966" s="147"/>
      <c r="BX966" s="147"/>
      <c r="BY966" s="147"/>
      <c r="BZ966" s="147"/>
      <c r="CA966" s="147"/>
      <c r="CB966" s="147"/>
      <c r="CC966" s="147"/>
      <c r="CD966" s="147"/>
      <c r="CE966" s="147"/>
      <c r="CF966" s="147"/>
      <c r="CG966" s="147"/>
      <c r="CH966" s="147"/>
      <c r="CI966" s="147"/>
      <c r="CJ966" s="147"/>
      <c r="CK966" s="147"/>
    </row>
    <row r="967" spans="1:89">
      <c r="A967" s="147"/>
      <c r="B967" s="147"/>
      <c r="C967" s="147"/>
      <c r="D967" s="147"/>
      <c r="E967" s="147"/>
      <c r="F967" s="147"/>
      <c r="G967" s="147"/>
      <c r="H967" s="147"/>
      <c r="I967" s="147"/>
      <c r="J967" s="147"/>
      <c r="K967" s="147"/>
      <c r="L967" s="147"/>
      <c r="M967" s="147"/>
      <c r="N967" s="147"/>
      <c r="O967" s="158"/>
      <c r="P967" s="147"/>
      <c r="Q967" s="147"/>
      <c r="R967" s="147"/>
      <c r="S967" s="147"/>
      <c r="T967" s="147"/>
      <c r="U967" s="147"/>
      <c r="V967" s="147"/>
      <c r="W967" s="147"/>
      <c r="X967" s="147"/>
      <c r="Y967" s="147"/>
      <c r="Z967" s="147"/>
      <c r="AA967" s="147"/>
      <c r="AB967" s="147"/>
      <c r="AC967" s="147"/>
      <c r="AD967" s="147"/>
      <c r="AE967" s="147"/>
      <c r="AF967" s="147"/>
      <c r="AG967" s="147"/>
      <c r="AH967" s="147"/>
      <c r="AI967" s="147"/>
      <c r="AJ967" s="147"/>
      <c r="AK967" s="147"/>
      <c r="AL967" s="147"/>
      <c r="AM967" s="147"/>
      <c r="AN967" s="147"/>
      <c r="AO967" s="147"/>
      <c r="AP967" s="147"/>
      <c r="AQ967" s="147"/>
      <c r="AR967" s="147"/>
      <c r="AS967" s="147"/>
      <c r="AT967" s="147"/>
      <c r="AU967" s="147"/>
      <c r="AV967" s="147"/>
      <c r="AW967" s="147"/>
      <c r="AX967" s="147"/>
      <c r="AY967" s="147"/>
      <c r="AZ967" s="147"/>
      <c r="BA967" s="147"/>
      <c r="BB967" s="147"/>
      <c r="BC967" s="147"/>
      <c r="BD967" s="147"/>
      <c r="BE967" s="147"/>
      <c r="BF967" s="147"/>
      <c r="BG967" s="147"/>
      <c r="BH967" s="147"/>
      <c r="BI967" s="147"/>
      <c r="BJ967" s="147"/>
      <c r="BK967" s="147"/>
      <c r="BL967" s="147"/>
      <c r="BM967" s="147"/>
      <c r="BN967" s="147"/>
      <c r="BO967" s="147"/>
      <c r="BP967" s="147"/>
      <c r="BQ967" s="147"/>
      <c r="BR967" s="147"/>
      <c r="BS967" s="147"/>
      <c r="BT967" s="147"/>
      <c r="BU967" s="147"/>
      <c r="BV967" s="147"/>
      <c r="BW967" s="147"/>
      <c r="BX967" s="147"/>
      <c r="BY967" s="147"/>
      <c r="BZ967" s="147"/>
      <c r="CA967" s="147"/>
      <c r="CB967" s="147"/>
      <c r="CC967" s="147"/>
      <c r="CD967" s="147"/>
      <c r="CE967" s="147"/>
      <c r="CF967" s="147"/>
      <c r="CG967" s="147"/>
      <c r="CH967" s="147"/>
      <c r="CI967" s="147"/>
      <c r="CJ967" s="147"/>
      <c r="CK967" s="147"/>
    </row>
    <row r="968" spans="1:89">
      <c r="A968" s="147"/>
      <c r="B968" s="147"/>
      <c r="C968" s="147"/>
      <c r="D968" s="147"/>
      <c r="E968" s="147"/>
      <c r="F968" s="147"/>
      <c r="G968" s="147"/>
      <c r="H968" s="147"/>
      <c r="I968" s="147"/>
      <c r="J968" s="147"/>
      <c r="K968" s="147"/>
      <c r="L968" s="147"/>
      <c r="M968" s="147"/>
      <c r="N968" s="147"/>
      <c r="O968" s="158"/>
      <c r="P968" s="147"/>
      <c r="Q968" s="147"/>
      <c r="R968" s="147"/>
      <c r="S968" s="147"/>
      <c r="T968" s="147"/>
      <c r="U968" s="147"/>
      <c r="V968" s="147"/>
      <c r="W968" s="147"/>
      <c r="X968" s="147"/>
      <c r="Y968" s="147"/>
      <c r="Z968" s="147"/>
      <c r="AA968" s="147"/>
      <c r="AB968" s="147"/>
      <c r="AC968" s="147"/>
      <c r="AD968" s="147"/>
      <c r="AE968" s="147"/>
      <c r="AF968" s="147"/>
      <c r="AG968" s="147"/>
      <c r="AH968" s="147"/>
      <c r="AI968" s="147"/>
      <c r="AJ968" s="147"/>
      <c r="AK968" s="147"/>
      <c r="AL968" s="147"/>
      <c r="AM968" s="147"/>
      <c r="AN968" s="147"/>
      <c r="AO968" s="147"/>
      <c r="AP968" s="147"/>
      <c r="AQ968" s="147"/>
      <c r="AR968" s="147"/>
      <c r="AS968" s="147"/>
      <c r="AT968" s="147"/>
      <c r="AU968" s="147"/>
      <c r="AV968" s="147"/>
      <c r="AW968" s="147"/>
      <c r="AX968" s="147"/>
      <c r="AY968" s="147"/>
      <c r="AZ968" s="147"/>
      <c r="BA968" s="147"/>
      <c r="BB968" s="147"/>
      <c r="BC968" s="147"/>
      <c r="BD968" s="147"/>
      <c r="BE968" s="147"/>
      <c r="BF968" s="147"/>
      <c r="BG968" s="147"/>
      <c r="BH968" s="147"/>
      <c r="BI968" s="147"/>
      <c r="BJ968" s="147"/>
      <c r="BK968" s="147"/>
      <c r="BL968" s="147"/>
      <c r="BM968" s="147"/>
      <c r="BN968" s="147"/>
      <c r="BO968" s="147"/>
      <c r="BP968" s="147"/>
      <c r="BQ968" s="147"/>
      <c r="BR968" s="147"/>
      <c r="BS968" s="147"/>
      <c r="BT968" s="147"/>
      <c r="BU968" s="147"/>
      <c r="BV968" s="147"/>
      <c r="BW968" s="147"/>
      <c r="BX968" s="147"/>
      <c r="BY968" s="147"/>
      <c r="BZ968" s="147"/>
      <c r="CA968" s="147"/>
      <c r="CB968" s="147"/>
      <c r="CC968" s="147"/>
      <c r="CD968" s="147"/>
      <c r="CE968" s="147"/>
      <c r="CF968" s="147"/>
      <c r="CG968" s="147"/>
      <c r="CH968" s="147"/>
      <c r="CI968" s="147"/>
      <c r="CJ968" s="147"/>
      <c r="CK968" s="147"/>
    </row>
    <row r="969" spans="1:89">
      <c r="A969" s="147"/>
      <c r="B969" s="147"/>
      <c r="C969" s="147"/>
      <c r="D969" s="147"/>
      <c r="E969" s="147"/>
      <c r="F969" s="147"/>
      <c r="G969" s="147"/>
      <c r="H969" s="147"/>
      <c r="I969" s="147"/>
      <c r="J969" s="147"/>
      <c r="K969" s="147"/>
      <c r="L969" s="147"/>
      <c r="M969" s="147"/>
      <c r="N969" s="147"/>
      <c r="O969" s="158"/>
      <c r="P969" s="147"/>
      <c r="Q969" s="147"/>
      <c r="R969" s="147"/>
      <c r="S969" s="147"/>
      <c r="T969" s="147"/>
      <c r="U969" s="147"/>
      <c r="V969" s="147"/>
      <c r="W969" s="147"/>
      <c r="X969" s="147"/>
      <c r="Y969" s="147"/>
      <c r="Z969" s="147"/>
      <c r="AA969" s="147"/>
      <c r="AB969" s="147"/>
      <c r="AC969" s="147"/>
      <c r="AD969" s="147"/>
      <c r="AE969" s="147"/>
      <c r="AF969" s="147"/>
      <c r="AG969" s="147"/>
      <c r="AH969" s="147"/>
      <c r="AI969" s="147"/>
      <c r="AJ969" s="147"/>
      <c r="AK969" s="147"/>
      <c r="AL969" s="147"/>
      <c r="AM969" s="147"/>
      <c r="AN969" s="147"/>
      <c r="AO969" s="147"/>
      <c r="AP969" s="147"/>
      <c r="AQ969" s="147"/>
      <c r="AR969" s="147"/>
      <c r="AS969" s="147"/>
      <c r="AT969" s="147"/>
      <c r="AU969" s="147"/>
      <c r="AV969" s="147"/>
      <c r="AW969" s="147"/>
      <c r="AX969" s="147"/>
      <c r="AY969" s="147"/>
      <c r="AZ969" s="147"/>
      <c r="BA969" s="147"/>
      <c r="BB969" s="147"/>
      <c r="BC969" s="147"/>
      <c r="BD969" s="147"/>
      <c r="BE969" s="147"/>
      <c r="BF969" s="147"/>
      <c r="BG969" s="147"/>
      <c r="BH969" s="147"/>
      <c r="BI969" s="147"/>
      <c r="BJ969" s="147"/>
      <c r="BK969" s="147"/>
      <c r="BL969" s="147"/>
      <c r="BM969" s="147"/>
      <c r="BN969" s="147"/>
      <c r="BO969" s="147"/>
      <c r="BP969" s="147"/>
      <c r="BQ969" s="147"/>
      <c r="BR969" s="147"/>
      <c r="BS969" s="147"/>
      <c r="BT969" s="147"/>
      <c r="BU969" s="147"/>
      <c r="BV969" s="147"/>
      <c r="BW969" s="147"/>
      <c r="BX969" s="147"/>
      <c r="BY969" s="147"/>
      <c r="BZ969" s="147"/>
      <c r="CA969" s="147"/>
      <c r="CB969" s="147"/>
      <c r="CC969" s="147"/>
      <c r="CD969" s="147"/>
      <c r="CE969" s="147"/>
      <c r="CF969" s="147"/>
      <c r="CG969" s="147"/>
      <c r="CH969" s="147"/>
      <c r="CI969" s="147"/>
      <c r="CJ969" s="147"/>
      <c r="CK969" s="147"/>
    </row>
    <row r="970" spans="1:89">
      <c r="A970" s="147"/>
      <c r="B970" s="147"/>
      <c r="C970" s="147"/>
      <c r="D970" s="147"/>
      <c r="E970" s="147"/>
      <c r="F970" s="147"/>
      <c r="G970" s="147"/>
      <c r="H970" s="147"/>
      <c r="I970" s="147"/>
      <c r="J970" s="147"/>
      <c r="K970" s="147"/>
      <c r="L970" s="147"/>
      <c r="M970" s="147"/>
      <c r="N970" s="147"/>
      <c r="O970" s="158"/>
      <c r="P970" s="147"/>
      <c r="Q970" s="147"/>
      <c r="R970" s="147"/>
      <c r="S970" s="147"/>
      <c r="T970" s="147"/>
      <c r="U970" s="147"/>
      <c r="V970" s="147"/>
      <c r="W970" s="147"/>
      <c r="X970" s="147"/>
      <c r="Y970" s="147"/>
      <c r="Z970" s="147"/>
      <c r="AA970" s="147"/>
      <c r="AB970" s="147"/>
      <c r="AC970" s="147"/>
      <c r="AD970" s="147"/>
      <c r="AE970" s="147"/>
      <c r="AF970" s="147"/>
      <c r="AG970" s="147"/>
      <c r="AH970" s="147"/>
      <c r="AI970" s="147"/>
      <c r="AJ970" s="147"/>
      <c r="AK970" s="147"/>
      <c r="AL970" s="147"/>
      <c r="AM970" s="147"/>
      <c r="AN970" s="147"/>
      <c r="AO970" s="147"/>
      <c r="AP970" s="147"/>
      <c r="AQ970" s="147"/>
      <c r="AR970" s="147"/>
      <c r="AS970" s="147"/>
      <c r="AT970" s="147"/>
      <c r="AU970" s="147"/>
      <c r="AV970" s="147"/>
      <c r="AW970" s="147"/>
      <c r="AX970" s="147"/>
      <c r="AY970" s="147"/>
      <c r="AZ970" s="147"/>
      <c r="BA970" s="147"/>
      <c r="BB970" s="147"/>
      <c r="BC970" s="147"/>
      <c r="BD970" s="147"/>
      <c r="BE970" s="147"/>
      <c r="BF970" s="147"/>
      <c r="BG970" s="147"/>
      <c r="BH970" s="147"/>
      <c r="BI970" s="147"/>
      <c r="BJ970" s="147"/>
      <c r="BK970" s="147"/>
      <c r="BL970" s="147"/>
      <c r="BM970" s="147"/>
      <c r="BN970" s="147"/>
      <c r="BO970" s="147"/>
      <c r="BP970" s="147"/>
      <c r="BQ970" s="147"/>
      <c r="BR970" s="147"/>
      <c r="BS970" s="147"/>
      <c r="BT970" s="147"/>
      <c r="BU970" s="147"/>
      <c r="BV970" s="147"/>
      <c r="BW970" s="147"/>
      <c r="BX970" s="147"/>
      <c r="BY970" s="147"/>
      <c r="BZ970" s="147"/>
      <c r="CA970" s="147"/>
      <c r="CB970" s="147"/>
      <c r="CC970" s="147"/>
      <c r="CD970" s="147"/>
      <c r="CE970" s="147"/>
      <c r="CF970" s="147"/>
      <c r="CG970" s="147"/>
      <c r="CH970" s="147"/>
      <c r="CI970" s="147"/>
      <c r="CJ970" s="147"/>
      <c r="CK970" s="147"/>
    </row>
    <row r="971" spans="1:89">
      <c r="A971" s="147"/>
      <c r="B971" s="147"/>
      <c r="C971" s="147"/>
      <c r="D971" s="147"/>
      <c r="E971" s="147"/>
      <c r="F971" s="147"/>
      <c r="G971" s="147"/>
      <c r="H971" s="147"/>
      <c r="I971" s="147"/>
      <c r="J971" s="147"/>
      <c r="K971" s="147"/>
      <c r="L971" s="147"/>
      <c r="M971" s="147"/>
      <c r="N971" s="147"/>
      <c r="O971" s="158"/>
      <c r="P971" s="147"/>
      <c r="Q971" s="147"/>
      <c r="R971" s="147"/>
      <c r="S971" s="147"/>
      <c r="T971" s="147"/>
      <c r="U971" s="147"/>
      <c r="V971" s="147"/>
      <c r="W971" s="147"/>
      <c r="X971" s="147"/>
      <c r="Y971" s="147"/>
      <c r="Z971" s="147"/>
      <c r="AA971" s="147"/>
      <c r="AB971" s="147"/>
      <c r="AC971" s="147"/>
      <c r="AD971" s="147"/>
      <c r="AE971" s="147"/>
      <c r="AF971" s="147"/>
      <c r="AG971" s="147"/>
      <c r="AH971" s="147"/>
      <c r="AI971" s="147"/>
      <c r="AJ971" s="147"/>
      <c r="AK971" s="147"/>
      <c r="AL971" s="147"/>
      <c r="AM971" s="147"/>
      <c r="AN971" s="147"/>
      <c r="AO971" s="147"/>
      <c r="AP971" s="147"/>
      <c r="AQ971" s="147"/>
      <c r="AR971" s="147"/>
      <c r="AS971" s="147"/>
      <c r="AT971" s="147"/>
      <c r="AU971" s="147"/>
      <c r="AV971" s="147"/>
      <c r="AW971" s="147"/>
      <c r="AX971" s="147"/>
      <c r="AY971" s="147"/>
      <c r="AZ971" s="147"/>
      <c r="BA971" s="147"/>
      <c r="BB971" s="147"/>
      <c r="BC971" s="147"/>
      <c r="BD971" s="147"/>
      <c r="BE971" s="147"/>
      <c r="BF971" s="147"/>
      <c r="BG971" s="147"/>
      <c r="BH971" s="147"/>
      <c r="BI971" s="147"/>
      <c r="BJ971" s="147"/>
      <c r="BK971" s="147"/>
      <c r="BL971" s="147"/>
      <c r="BM971" s="147"/>
      <c r="BN971" s="147"/>
      <c r="BO971" s="147"/>
      <c r="BP971" s="147"/>
      <c r="BQ971" s="147"/>
      <c r="BR971" s="147"/>
      <c r="BS971" s="147"/>
      <c r="BT971" s="147"/>
      <c r="BU971" s="147"/>
      <c r="BV971" s="147"/>
      <c r="BW971" s="147"/>
      <c r="BX971" s="147"/>
      <c r="BY971" s="147"/>
      <c r="BZ971" s="147"/>
      <c r="CA971" s="147"/>
      <c r="CB971" s="147"/>
      <c r="CC971" s="147"/>
      <c r="CD971" s="147"/>
      <c r="CE971" s="147"/>
      <c r="CF971" s="147"/>
      <c r="CG971" s="147"/>
      <c r="CH971" s="147"/>
      <c r="CI971" s="147"/>
      <c r="CJ971" s="147"/>
      <c r="CK971" s="147"/>
    </row>
    <row r="972" spans="1:89">
      <c r="A972" s="147"/>
      <c r="B972" s="147"/>
      <c r="C972" s="147"/>
      <c r="D972" s="147"/>
      <c r="E972" s="147"/>
      <c r="F972" s="147"/>
      <c r="G972" s="147"/>
      <c r="H972" s="147"/>
      <c r="I972" s="147"/>
      <c r="J972" s="147"/>
      <c r="K972" s="147"/>
      <c r="L972" s="147"/>
      <c r="M972" s="147"/>
      <c r="N972" s="147"/>
      <c r="O972" s="158"/>
      <c r="P972" s="147"/>
      <c r="Q972" s="147"/>
      <c r="R972" s="147"/>
      <c r="S972" s="147"/>
      <c r="T972" s="147"/>
      <c r="U972" s="147"/>
      <c r="V972" s="147"/>
      <c r="W972" s="147"/>
      <c r="X972" s="147"/>
      <c r="Y972" s="147"/>
      <c r="Z972" s="147"/>
      <c r="AA972" s="147"/>
      <c r="AB972" s="147"/>
      <c r="AC972" s="147"/>
      <c r="AD972" s="147"/>
      <c r="AE972" s="147"/>
      <c r="AF972" s="147"/>
      <c r="AG972" s="147"/>
      <c r="AH972" s="147"/>
      <c r="AI972" s="147"/>
      <c r="AJ972" s="147"/>
      <c r="AK972" s="147"/>
      <c r="AL972" s="147"/>
      <c r="AM972" s="147"/>
      <c r="AN972" s="147"/>
      <c r="AO972" s="147"/>
      <c r="AP972" s="147"/>
      <c r="AQ972" s="147"/>
      <c r="AR972" s="147"/>
      <c r="AS972" s="147"/>
      <c r="AT972" s="147"/>
      <c r="AU972" s="147"/>
      <c r="AV972" s="147"/>
      <c r="AW972" s="147"/>
      <c r="AX972" s="147"/>
      <c r="AY972" s="147"/>
      <c r="AZ972" s="147"/>
      <c r="BA972" s="147"/>
      <c r="BB972" s="147"/>
      <c r="BC972" s="147"/>
      <c r="BD972" s="147"/>
      <c r="BE972" s="147"/>
      <c r="BF972" s="147"/>
      <c r="BG972" s="147"/>
      <c r="BH972" s="147"/>
      <c r="BI972" s="147"/>
      <c r="BJ972" s="147"/>
      <c r="BK972" s="147"/>
      <c r="BL972" s="147"/>
      <c r="BM972" s="147"/>
      <c r="BN972" s="147"/>
      <c r="BO972" s="147"/>
      <c r="BP972" s="147"/>
      <c r="BQ972" s="147"/>
      <c r="BR972" s="147"/>
      <c r="BS972" s="147"/>
      <c r="BT972" s="147"/>
      <c r="BU972" s="147"/>
      <c r="BV972" s="147"/>
      <c r="BW972" s="147"/>
      <c r="BX972" s="147"/>
      <c r="BY972" s="147"/>
      <c r="BZ972" s="147"/>
      <c r="CA972" s="147"/>
      <c r="CB972" s="147"/>
      <c r="CC972" s="147"/>
      <c r="CD972" s="147"/>
      <c r="CE972" s="147"/>
      <c r="CF972" s="147"/>
      <c r="CG972" s="147"/>
      <c r="CH972" s="147"/>
      <c r="CI972" s="147"/>
      <c r="CJ972" s="147"/>
      <c r="CK972" s="147"/>
    </row>
    <row r="973" spans="1:89">
      <c r="A973" s="147"/>
      <c r="B973" s="147"/>
      <c r="C973" s="147"/>
      <c r="D973" s="147"/>
      <c r="E973" s="147"/>
      <c r="F973" s="147"/>
      <c r="G973" s="147"/>
      <c r="H973" s="147"/>
      <c r="I973" s="147"/>
      <c r="J973" s="147"/>
      <c r="K973" s="147"/>
      <c r="L973" s="147"/>
      <c r="M973" s="147"/>
      <c r="N973" s="147"/>
      <c r="O973" s="158"/>
      <c r="P973" s="147"/>
      <c r="Q973" s="147"/>
      <c r="R973" s="147"/>
      <c r="S973" s="147"/>
      <c r="T973" s="147"/>
      <c r="U973" s="147"/>
      <c r="V973" s="147"/>
      <c r="W973" s="147"/>
      <c r="X973" s="147"/>
      <c r="Y973" s="147"/>
      <c r="Z973" s="147"/>
      <c r="AA973" s="147"/>
      <c r="AB973" s="147"/>
      <c r="AC973" s="147"/>
      <c r="AD973" s="147"/>
      <c r="AE973" s="147"/>
      <c r="AF973" s="147"/>
      <c r="AG973" s="147"/>
      <c r="AH973" s="147"/>
      <c r="AI973" s="147"/>
      <c r="AJ973" s="147"/>
      <c r="AK973" s="147"/>
      <c r="AL973" s="147"/>
      <c r="AM973" s="147"/>
      <c r="AN973" s="147"/>
      <c r="AO973" s="147"/>
      <c r="AP973" s="147"/>
      <c r="AQ973" s="147"/>
      <c r="AR973" s="147"/>
      <c r="AS973" s="147"/>
      <c r="AT973" s="147"/>
      <c r="AU973" s="147"/>
      <c r="AV973" s="147"/>
      <c r="AW973" s="147"/>
      <c r="AX973" s="147"/>
      <c r="AY973" s="147"/>
      <c r="AZ973" s="147"/>
      <c r="BA973" s="147"/>
      <c r="BB973" s="147"/>
      <c r="BC973" s="147"/>
      <c r="BD973" s="147"/>
      <c r="BE973" s="147"/>
      <c r="BF973" s="147"/>
      <c r="BG973" s="147"/>
      <c r="BH973" s="147"/>
      <c r="BI973" s="147"/>
      <c r="BJ973" s="147"/>
      <c r="BK973" s="147"/>
      <c r="BL973" s="147"/>
      <c r="BM973" s="147"/>
      <c r="BN973" s="147"/>
      <c r="BO973" s="147"/>
      <c r="BP973" s="147"/>
      <c r="BQ973" s="147"/>
      <c r="BR973" s="147"/>
      <c r="BS973" s="147"/>
      <c r="BT973" s="147"/>
      <c r="BU973" s="147"/>
      <c r="BV973" s="147"/>
      <c r="BW973" s="147"/>
      <c r="BX973" s="147"/>
      <c r="BY973" s="147"/>
      <c r="BZ973" s="147"/>
      <c r="CA973" s="147"/>
      <c r="CB973" s="147"/>
      <c r="CC973" s="147"/>
      <c r="CD973" s="147"/>
      <c r="CE973" s="147"/>
      <c r="CF973" s="147"/>
      <c r="CG973" s="147"/>
      <c r="CH973" s="147"/>
      <c r="CI973" s="147"/>
      <c r="CJ973" s="147"/>
      <c r="CK973" s="147"/>
    </row>
    <row r="974" spans="1:89">
      <c r="A974" s="147"/>
      <c r="B974" s="147"/>
      <c r="C974" s="147"/>
      <c r="D974" s="147"/>
      <c r="E974" s="147"/>
      <c r="F974" s="147"/>
      <c r="G974" s="147"/>
      <c r="H974" s="147"/>
      <c r="I974" s="147"/>
      <c r="J974" s="147"/>
      <c r="K974" s="147"/>
      <c r="L974" s="147"/>
      <c r="M974" s="147"/>
      <c r="N974" s="147"/>
      <c r="O974" s="158"/>
      <c r="P974" s="147"/>
      <c r="Q974" s="147"/>
      <c r="R974" s="147"/>
      <c r="S974" s="147"/>
      <c r="T974" s="147"/>
      <c r="U974" s="147"/>
      <c r="V974" s="147"/>
      <c r="W974" s="147"/>
      <c r="X974" s="147"/>
      <c r="Y974" s="147"/>
      <c r="Z974" s="147"/>
      <c r="AA974" s="147"/>
      <c r="AB974" s="147"/>
      <c r="AC974" s="147"/>
      <c r="AD974" s="147"/>
      <c r="AE974" s="147"/>
      <c r="AF974" s="147"/>
      <c r="AG974" s="147"/>
      <c r="AH974" s="147"/>
      <c r="AI974" s="147"/>
      <c r="AJ974" s="147"/>
      <c r="AK974" s="147"/>
      <c r="AL974" s="147"/>
      <c r="AM974" s="147"/>
      <c r="AN974" s="147"/>
      <c r="AO974" s="147"/>
      <c r="AP974" s="147"/>
      <c r="AQ974" s="147"/>
      <c r="AR974" s="147"/>
      <c r="AS974" s="147"/>
      <c r="AT974" s="147"/>
      <c r="AU974" s="147"/>
      <c r="AV974" s="147"/>
      <c r="AW974" s="147"/>
      <c r="AX974" s="147"/>
      <c r="AY974" s="147"/>
      <c r="AZ974" s="147"/>
      <c r="BA974" s="147"/>
      <c r="BB974" s="147"/>
      <c r="BC974" s="147"/>
      <c r="BD974" s="147"/>
      <c r="BE974" s="147"/>
      <c r="BF974" s="147"/>
      <c r="BG974" s="147"/>
      <c r="BH974" s="147"/>
      <c r="BI974" s="147"/>
      <c r="BJ974" s="147"/>
      <c r="BK974" s="147"/>
      <c r="BL974" s="147"/>
      <c r="BM974" s="147"/>
      <c r="BN974" s="147"/>
      <c r="BO974" s="147"/>
      <c r="BP974" s="147"/>
      <c r="BQ974" s="147"/>
      <c r="BR974" s="147"/>
      <c r="BS974" s="147"/>
      <c r="BT974" s="147"/>
      <c r="BU974" s="147"/>
      <c r="BV974" s="147"/>
      <c r="BW974" s="147"/>
      <c r="BX974" s="147"/>
      <c r="BY974" s="147"/>
      <c r="BZ974" s="147"/>
      <c r="CA974" s="147"/>
      <c r="CB974" s="147"/>
      <c r="CC974" s="147"/>
      <c r="CD974" s="147"/>
      <c r="CE974" s="147"/>
      <c r="CF974" s="147"/>
      <c r="CG974" s="147"/>
      <c r="CH974" s="147"/>
      <c r="CI974" s="147"/>
      <c r="CJ974" s="147"/>
      <c r="CK974" s="147"/>
    </row>
    <row r="975" spans="1:89">
      <c r="A975" s="147"/>
      <c r="B975" s="147"/>
      <c r="C975" s="147"/>
      <c r="D975" s="147"/>
      <c r="E975" s="147"/>
      <c r="F975" s="147"/>
      <c r="G975" s="147"/>
      <c r="H975" s="147"/>
      <c r="I975" s="147"/>
      <c r="J975" s="147"/>
      <c r="K975" s="147"/>
      <c r="L975" s="147"/>
      <c r="M975" s="147"/>
      <c r="N975" s="147"/>
      <c r="O975" s="158"/>
      <c r="P975" s="147"/>
      <c r="Q975" s="147"/>
      <c r="R975" s="147"/>
      <c r="S975" s="147"/>
      <c r="T975" s="147"/>
      <c r="U975" s="147"/>
      <c r="V975" s="147"/>
      <c r="W975" s="147"/>
      <c r="X975" s="147"/>
      <c r="Y975" s="147"/>
      <c r="Z975" s="147"/>
      <c r="AA975" s="147"/>
      <c r="AB975" s="147"/>
      <c r="AC975" s="147"/>
      <c r="AD975" s="147"/>
      <c r="AE975" s="147"/>
      <c r="AF975" s="147"/>
      <c r="AG975" s="147"/>
      <c r="AH975" s="147"/>
      <c r="AI975" s="147"/>
      <c r="AJ975" s="147"/>
      <c r="AK975" s="147"/>
      <c r="AL975" s="147"/>
      <c r="AM975" s="147"/>
      <c r="AN975" s="147"/>
      <c r="AO975" s="147"/>
      <c r="AP975" s="147"/>
      <c r="AQ975" s="147"/>
      <c r="AR975" s="147"/>
      <c r="AS975" s="147"/>
      <c r="AT975" s="147"/>
      <c r="AU975" s="147"/>
      <c r="AV975" s="147"/>
      <c r="AW975" s="147"/>
      <c r="AX975" s="147"/>
      <c r="AY975" s="147"/>
      <c r="AZ975" s="147"/>
      <c r="BA975" s="147"/>
      <c r="BB975" s="147"/>
      <c r="BC975" s="147"/>
      <c r="BD975" s="147"/>
      <c r="BE975" s="147"/>
      <c r="BF975" s="147"/>
      <c r="BG975" s="147"/>
      <c r="BH975" s="147"/>
      <c r="BI975" s="147"/>
      <c r="BJ975" s="147"/>
      <c r="BK975" s="147"/>
      <c r="BL975" s="147"/>
      <c r="BM975" s="147"/>
      <c r="BN975" s="147"/>
      <c r="BO975" s="147"/>
      <c r="BP975" s="147"/>
      <c r="BQ975" s="147"/>
      <c r="BR975" s="147"/>
      <c r="BS975" s="147"/>
      <c r="BT975" s="147"/>
      <c r="BU975" s="147"/>
      <c r="BV975" s="147"/>
      <c r="BW975" s="147"/>
      <c r="BX975" s="147"/>
      <c r="BY975" s="147"/>
      <c r="BZ975" s="147"/>
      <c r="CA975" s="147"/>
      <c r="CB975" s="147"/>
      <c r="CC975" s="147"/>
      <c r="CD975" s="147"/>
      <c r="CE975" s="147"/>
      <c r="CF975" s="147"/>
      <c r="CG975" s="147"/>
      <c r="CH975" s="147"/>
      <c r="CI975" s="147"/>
      <c r="CJ975" s="147"/>
      <c r="CK975" s="147"/>
    </row>
    <row r="976" spans="1:89">
      <c r="A976" s="147"/>
      <c r="B976" s="147"/>
      <c r="C976" s="147"/>
      <c r="D976" s="147"/>
      <c r="E976" s="147"/>
      <c r="F976" s="147"/>
      <c r="G976" s="147"/>
      <c r="H976" s="147"/>
      <c r="I976" s="147"/>
      <c r="J976" s="147"/>
      <c r="K976" s="147"/>
      <c r="L976" s="147"/>
      <c r="M976" s="147"/>
      <c r="N976" s="147"/>
      <c r="O976" s="158"/>
      <c r="P976" s="147"/>
      <c r="Q976" s="147"/>
      <c r="R976" s="147"/>
      <c r="S976" s="147"/>
      <c r="T976" s="147"/>
      <c r="U976" s="147"/>
      <c r="V976" s="147"/>
      <c r="W976" s="147"/>
      <c r="X976" s="147"/>
      <c r="Y976" s="147"/>
      <c r="Z976" s="147"/>
      <c r="AA976" s="147"/>
      <c r="AB976" s="147"/>
      <c r="AC976" s="147"/>
      <c r="AD976" s="147"/>
      <c r="AE976" s="147"/>
      <c r="AF976" s="147"/>
      <c r="AG976" s="147"/>
      <c r="AH976" s="147"/>
      <c r="AI976" s="147"/>
      <c r="AJ976" s="147"/>
      <c r="AK976" s="147"/>
      <c r="AL976" s="147"/>
      <c r="AM976" s="147"/>
      <c r="AN976" s="147"/>
      <c r="AO976" s="147"/>
      <c r="AP976" s="147"/>
      <c r="AQ976" s="147"/>
      <c r="AR976" s="147"/>
      <c r="AS976" s="147"/>
      <c r="AT976" s="147"/>
      <c r="AU976" s="147"/>
      <c r="AV976" s="147"/>
      <c r="AW976" s="147"/>
      <c r="AX976" s="147"/>
      <c r="AY976" s="147"/>
      <c r="AZ976" s="147"/>
      <c r="BA976" s="147"/>
      <c r="BB976" s="147"/>
      <c r="BC976" s="147"/>
      <c r="BD976" s="147"/>
      <c r="BE976" s="147"/>
      <c r="BF976" s="147"/>
      <c r="BG976" s="147"/>
      <c r="BH976" s="147"/>
      <c r="BI976" s="147"/>
      <c r="BJ976" s="147"/>
      <c r="BK976" s="147"/>
      <c r="BL976" s="147"/>
      <c r="BM976" s="147"/>
      <c r="BN976" s="147"/>
      <c r="BO976" s="147"/>
      <c r="BP976" s="147"/>
      <c r="BQ976" s="147"/>
      <c r="BR976" s="147"/>
      <c r="BS976" s="147"/>
      <c r="BT976" s="147"/>
      <c r="BU976" s="147"/>
      <c r="BV976" s="147"/>
      <c r="BW976" s="147"/>
      <c r="BX976" s="147"/>
      <c r="BY976" s="147"/>
      <c r="BZ976" s="147"/>
      <c r="CA976" s="147"/>
      <c r="CB976" s="147"/>
      <c r="CC976" s="147"/>
      <c r="CD976" s="147"/>
      <c r="CE976" s="147"/>
      <c r="CF976" s="147"/>
      <c r="CG976" s="147"/>
      <c r="CH976" s="147"/>
      <c r="CI976" s="147"/>
      <c r="CJ976" s="147"/>
      <c r="CK976" s="147"/>
    </row>
    <row r="977" spans="1:89">
      <c r="A977" s="147"/>
      <c r="B977" s="147"/>
      <c r="C977" s="147"/>
      <c r="D977" s="147"/>
      <c r="E977" s="147"/>
      <c r="F977" s="147"/>
      <c r="G977" s="147"/>
      <c r="H977" s="147"/>
      <c r="I977" s="147"/>
      <c r="J977" s="147"/>
      <c r="K977" s="147"/>
      <c r="L977" s="147"/>
      <c r="M977" s="147"/>
      <c r="N977" s="147"/>
      <c r="O977" s="158"/>
      <c r="P977" s="147"/>
      <c r="Q977" s="147"/>
      <c r="R977" s="147"/>
      <c r="S977" s="147"/>
      <c r="T977" s="147"/>
      <c r="U977" s="147"/>
      <c r="V977" s="147"/>
      <c r="W977" s="147"/>
      <c r="X977" s="147"/>
      <c r="Y977" s="147"/>
      <c r="Z977" s="147"/>
      <c r="AA977" s="147"/>
      <c r="AB977" s="147"/>
      <c r="AC977" s="147"/>
      <c r="AD977" s="147"/>
      <c r="AE977" s="147"/>
      <c r="AF977" s="147"/>
      <c r="AG977" s="147"/>
      <c r="AH977" s="147"/>
      <c r="AI977" s="147"/>
      <c r="AJ977" s="147"/>
      <c r="AK977" s="147"/>
      <c r="AL977" s="147"/>
      <c r="AM977" s="147"/>
      <c r="AN977" s="147"/>
      <c r="AO977" s="147"/>
      <c r="AP977" s="147"/>
      <c r="AQ977" s="147"/>
      <c r="AR977" s="147"/>
      <c r="AS977" s="147"/>
      <c r="AT977" s="147"/>
      <c r="AU977" s="147"/>
      <c r="AV977" s="147"/>
      <c r="AW977" s="147"/>
      <c r="AX977" s="147"/>
      <c r="AY977" s="147"/>
      <c r="AZ977" s="147"/>
      <c r="BA977" s="147"/>
      <c r="BB977" s="147"/>
      <c r="BC977" s="147"/>
      <c r="BD977" s="147"/>
      <c r="BE977" s="147"/>
      <c r="BF977" s="147"/>
      <c r="BG977" s="147"/>
      <c r="BH977" s="147"/>
      <c r="BI977" s="147"/>
      <c r="BJ977" s="147"/>
      <c r="BK977" s="147"/>
      <c r="BL977" s="147"/>
      <c r="BM977" s="147"/>
      <c r="BN977" s="147"/>
      <c r="BO977" s="147"/>
      <c r="BP977" s="147"/>
      <c r="BQ977" s="147"/>
      <c r="BR977" s="147"/>
      <c r="BS977" s="147"/>
      <c r="BT977" s="147"/>
      <c r="BU977" s="147"/>
      <c r="BV977" s="147"/>
      <c r="BW977" s="147"/>
      <c r="BX977" s="147"/>
      <c r="BY977" s="147"/>
      <c r="BZ977" s="147"/>
      <c r="CA977" s="147"/>
      <c r="CB977" s="147"/>
      <c r="CC977" s="147"/>
      <c r="CD977" s="147"/>
      <c r="CE977" s="147"/>
      <c r="CF977" s="147"/>
      <c r="CG977" s="147"/>
      <c r="CH977" s="147"/>
      <c r="CI977" s="147"/>
      <c r="CJ977" s="147"/>
      <c r="CK977" s="147"/>
    </row>
    <row r="978" spans="1:89">
      <c r="A978" s="147"/>
      <c r="B978" s="147"/>
      <c r="C978" s="147"/>
      <c r="D978" s="147"/>
      <c r="E978" s="147"/>
      <c r="F978" s="147"/>
      <c r="G978" s="147"/>
      <c r="H978" s="147"/>
      <c r="I978" s="147"/>
      <c r="J978" s="147"/>
      <c r="K978" s="147"/>
      <c r="L978" s="147"/>
      <c r="M978" s="147"/>
      <c r="N978" s="147"/>
      <c r="O978" s="158"/>
      <c r="P978" s="147"/>
      <c r="Q978" s="147"/>
      <c r="R978" s="147"/>
      <c r="S978" s="147"/>
      <c r="T978" s="147"/>
      <c r="U978" s="147"/>
      <c r="V978" s="147"/>
      <c r="W978" s="147"/>
      <c r="X978" s="147"/>
      <c r="Y978" s="147"/>
      <c r="Z978" s="147"/>
      <c r="AA978" s="147"/>
      <c r="AB978" s="147"/>
      <c r="AC978" s="147"/>
      <c r="AD978" s="147"/>
      <c r="AE978" s="147"/>
      <c r="AF978" s="147"/>
      <c r="AG978" s="147"/>
      <c r="AH978" s="147"/>
      <c r="AI978" s="147"/>
      <c r="AJ978" s="147"/>
      <c r="AK978" s="147"/>
      <c r="AL978" s="147"/>
      <c r="AM978" s="147"/>
      <c r="AN978" s="147"/>
      <c r="AO978" s="147"/>
      <c r="AP978" s="147"/>
      <c r="AQ978" s="147"/>
      <c r="AR978" s="147"/>
      <c r="AS978" s="147"/>
      <c r="AT978" s="147"/>
      <c r="AU978" s="147"/>
      <c r="AV978" s="147"/>
      <c r="AW978" s="147"/>
      <c r="AX978" s="147"/>
      <c r="AY978" s="147"/>
      <c r="AZ978" s="147"/>
      <c r="BA978" s="147"/>
      <c r="BB978" s="147"/>
      <c r="BC978" s="147"/>
      <c r="BD978" s="147"/>
      <c r="BE978" s="147"/>
      <c r="BF978" s="147"/>
      <c r="BG978" s="147"/>
      <c r="BH978" s="147"/>
      <c r="BI978" s="147"/>
      <c r="BJ978" s="147"/>
      <c r="BK978" s="147"/>
      <c r="BL978" s="147"/>
      <c r="BM978" s="147"/>
      <c r="BN978" s="147"/>
      <c r="BO978" s="147"/>
      <c r="BP978" s="147"/>
      <c r="BQ978" s="147"/>
      <c r="BR978" s="147"/>
      <c r="BS978" s="147"/>
      <c r="BT978" s="147"/>
      <c r="BU978" s="147"/>
      <c r="BV978" s="147"/>
      <c r="BW978" s="147"/>
      <c r="BX978" s="147"/>
      <c r="BY978" s="147"/>
      <c r="BZ978" s="147"/>
      <c r="CA978" s="147"/>
      <c r="CB978" s="147"/>
      <c r="CC978" s="147"/>
      <c r="CD978" s="147"/>
      <c r="CE978" s="147"/>
      <c r="CF978" s="147"/>
      <c r="CG978" s="147"/>
      <c r="CH978" s="147"/>
      <c r="CI978" s="147"/>
      <c r="CJ978" s="147"/>
      <c r="CK978" s="147"/>
    </row>
    <row r="979" spans="1:89">
      <c r="A979" s="147"/>
      <c r="B979" s="147"/>
      <c r="C979" s="147"/>
      <c r="D979" s="147"/>
      <c r="E979" s="147"/>
      <c r="F979" s="147"/>
      <c r="G979" s="147"/>
      <c r="H979" s="147"/>
      <c r="I979" s="147"/>
      <c r="J979" s="147"/>
      <c r="K979" s="147"/>
      <c r="L979" s="147"/>
      <c r="M979" s="147"/>
      <c r="N979" s="147"/>
      <c r="O979" s="158"/>
      <c r="P979" s="147"/>
      <c r="Q979" s="147"/>
      <c r="R979" s="147"/>
      <c r="S979" s="147"/>
      <c r="T979" s="147"/>
      <c r="U979" s="147"/>
      <c r="V979" s="147"/>
      <c r="W979" s="147"/>
      <c r="X979" s="147"/>
      <c r="Y979" s="147"/>
      <c r="Z979" s="147"/>
      <c r="AA979" s="147"/>
      <c r="AB979" s="147"/>
      <c r="AC979" s="147"/>
      <c r="AD979" s="147"/>
      <c r="AE979" s="147"/>
      <c r="AF979" s="147"/>
      <c r="AG979" s="147"/>
      <c r="AH979" s="147"/>
      <c r="AI979" s="147"/>
      <c r="AJ979" s="147"/>
      <c r="AK979" s="147"/>
      <c r="AL979" s="147"/>
      <c r="AM979" s="147"/>
      <c r="AN979" s="147"/>
      <c r="AO979" s="147"/>
      <c r="AP979" s="147"/>
      <c r="AQ979" s="147"/>
      <c r="AR979" s="147"/>
      <c r="AS979" s="147"/>
      <c r="AT979" s="147"/>
      <c r="AU979" s="147"/>
      <c r="AV979" s="147"/>
      <c r="AW979" s="147"/>
      <c r="AX979" s="147"/>
      <c r="AY979" s="147"/>
      <c r="AZ979" s="147"/>
      <c r="BA979" s="147"/>
      <c r="BB979" s="147"/>
      <c r="BC979" s="147"/>
      <c r="BD979" s="147"/>
      <c r="BE979" s="147"/>
      <c r="BF979" s="147"/>
      <c r="BG979" s="147"/>
      <c r="BH979" s="147"/>
      <c r="BI979" s="147"/>
      <c r="BJ979" s="147"/>
      <c r="BK979" s="147"/>
      <c r="BL979" s="147"/>
      <c r="BM979" s="147"/>
      <c r="BN979" s="147"/>
      <c r="BO979" s="147"/>
      <c r="BP979" s="147"/>
      <c r="BQ979" s="147"/>
      <c r="BR979" s="147"/>
      <c r="BS979" s="147"/>
      <c r="BT979" s="147"/>
      <c r="BU979" s="147"/>
      <c r="BV979" s="147"/>
      <c r="BW979" s="147"/>
      <c r="BX979" s="147"/>
      <c r="BY979" s="147"/>
      <c r="BZ979" s="147"/>
      <c r="CA979" s="147"/>
      <c r="CB979" s="147"/>
      <c r="CC979" s="147"/>
      <c r="CD979" s="147"/>
      <c r="CE979" s="147"/>
      <c r="CF979" s="147"/>
      <c r="CG979" s="147"/>
      <c r="CH979" s="147"/>
      <c r="CI979" s="147"/>
      <c r="CJ979" s="147"/>
      <c r="CK979" s="147"/>
    </row>
    <row r="980" spans="1:89">
      <c r="A980" s="147"/>
      <c r="B980" s="147"/>
      <c r="C980" s="147"/>
      <c r="D980" s="147"/>
      <c r="E980" s="147"/>
      <c r="F980" s="147"/>
      <c r="G980" s="147"/>
      <c r="H980" s="147"/>
      <c r="I980" s="147"/>
      <c r="J980" s="147"/>
      <c r="K980" s="147"/>
      <c r="L980" s="147"/>
      <c r="M980" s="147"/>
      <c r="N980" s="147"/>
      <c r="O980" s="158"/>
      <c r="P980" s="147"/>
      <c r="Q980" s="147"/>
      <c r="R980" s="147"/>
      <c r="S980" s="147"/>
      <c r="T980" s="147"/>
      <c r="U980" s="147"/>
      <c r="V980" s="147"/>
      <c r="W980" s="147"/>
      <c r="X980" s="147"/>
      <c r="Y980" s="147"/>
      <c r="Z980" s="147"/>
      <c r="AA980" s="147"/>
      <c r="AB980" s="147"/>
      <c r="AC980" s="147"/>
      <c r="AD980" s="147"/>
      <c r="AE980" s="147"/>
      <c r="AF980" s="147"/>
      <c r="AG980" s="147"/>
      <c r="AH980" s="147"/>
      <c r="AI980" s="147"/>
      <c r="AJ980" s="147"/>
      <c r="AK980" s="147"/>
      <c r="AL980" s="147"/>
      <c r="AM980" s="147"/>
      <c r="AN980" s="147"/>
      <c r="AO980" s="147"/>
      <c r="AP980" s="147"/>
      <c r="AQ980" s="147"/>
      <c r="AR980" s="147"/>
      <c r="AS980" s="147"/>
      <c r="AT980" s="147"/>
      <c r="AU980" s="147"/>
      <c r="AV980" s="147"/>
      <c r="AW980" s="147"/>
      <c r="AX980" s="147"/>
      <c r="AY980" s="147"/>
      <c r="AZ980" s="147"/>
      <c r="BA980" s="147"/>
      <c r="BB980" s="147"/>
      <c r="BC980" s="147"/>
      <c r="BD980" s="147"/>
      <c r="BE980" s="147"/>
      <c r="BF980" s="147"/>
      <c r="BG980" s="147"/>
      <c r="BH980" s="147"/>
      <c r="BI980" s="147"/>
      <c r="BJ980" s="147"/>
      <c r="BK980" s="147"/>
      <c r="BL980" s="147"/>
      <c r="BM980" s="147"/>
      <c r="BN980" s="147"/>
      <c r="BO980" s="147"/>
      <c r="BP980" s="147"/>
      <c r="BQ980" s="147"/>
      <c r="BR980" s="147"/>
      <c r="BS980" s="147"/>
      <c r="BT980" s="147"/>
      <c r="BU980" s="147"/>
      <c r="BV980" s="147"/>
      <c r="BW980" s="147"/>
      <c r="BX980" s="147"/>
      <c r="BY980" s="147"/>
      <c r="BZ980" s="147"/>
      <c r="CA980" s="147"/>
      <c r="CB980" s="147"/>
      <c r="CC980" s="147"/>
      <c r="CD980" s="147"/>
      <c r="CE980" s="147"/>
      <c r="CF980" s="147"/>
      <c r="CG980" s="147"/>
      <c r="CH980" s="147"/>
      <c r="CI980" s="147"/>
      <c r="CJ980" s="147"/>
      <c r="CK980" s="147"/>
    </row>
    <row r="981" spans="1:89">
      <c r="A981" s="147"/>
      <c r="B981" s="147"/>
      <c r="C981" s="147"/>
      <c r="D981" s="147"/>
      <c r="E981" s="147"/>
      <c r="F981" s="147"/>
      <c r="G981" s="147"/>
      <c r="H981" s="147"/>
      <c r="I981" s="147"/>
      <c r="J981" s="147"/>
      <c r="K981" s="147"/>
      <c r="L981" s="147"/>
      <c r="M981" s="147"/>
      <c r="N981" s="147"/>
      <c r="O981" s="158"/>
      <c r="P981" s="147"/>
      <c r="Q981" s="147"/>
      <c r="R981" s="147"/>
      <c r="S981" s="147"/>
      <c r="T981" s="147"/>
      <c r="U981" s="147"/>
      <c r="V981" s="147"/>
      <c r="W981" s="147"/>
      <c r="X981" s="147"/>
      <c r="Y981" s="147"/>
      <c r="Z981" s="147"/>
      <c r="AA981" s="147"/>
      <c r="AB981" s="147"/>
      <c r="AC981" s="147"/>
      <c r="AD981" s="147"/>
      <c r="AE981" s="147"/>
      <c r="AF981" s="147"/>
      <c r="AG981" s="147"/>
      <c r="AH981" s="147"/>
      <c r="AI981" s="147"/>
      <c r="AJ981" s="147"/>
      <c r="AK981" s="147"/>
      <c r="AL981" s="147"/>
      <c r="AM981" s="147"/>
      <c r="AN981" s="147"/>
      <c r="AO981" s="147"/>
      <c r="AP981" s="147"/>
      <c r="AQ981" s="147"/>
      <c r="AR981" s="147"/>
      <c r="AS981" s="147"/>
      <c r="AT981" s="147"/>
      <c r="AU981" s="147"/>
      <c r="AV981" s="147"/>
      <c r="AW981" s="147"/>
      <c r="AX981" s="147"/>
      <c r="AY981" s="147"/>
      <c r="AZ981" s="147"/>
      <c r="BA981" s="147"/>
      <c r="BB981" s="147"/>
      <c r="BC981" s="147"/>
      <c r="BD981" s="147"/>
      <c r="BE981" s="147"/>
      <c r="BF981" s="147"/>
      <c r="BG981" s="147"/>
      <c r="BH981" s="147"/>
      <c r="BI981" s="147"/>
      <c r="BJ981" s="147"/>
      <c r="BK981" s="147"/>
      <c r="BL981" s="147"/>
      <c r="BM981" s="147"/>
      <c r="BN981" s="147"/>
      <c r="BO981" s="147"/>
      <c r="BP981" s="147"/>
      <c r="BQ981" s="147"/>
      <c r="BR981" s="147"/>
      <c r="BS981" s="147"/>
      <c r="BT981" s="147"/>
      <c r="BU981" s="147"/>
      <c r="BV981" s="147"/>
      <c r="BW981" s="147"/>
      <c r="BX981" s="147"/>
      <c r="BY981" s="147"/>
      <c r="BZ981" s="147"/>
      <c r="CA981" s="147"/>
      <c r="CB981" s="147"/>
      <c r="CC981" s="147"/>
      <c r="CD981" s="147"/>
      <c r="CE981" s="147"/>
      <c r="CF981" s="147"/>
      <c r="CG981" s="147"/>
      <c r="CH981" s="147"/>
      <c r="CI981" s="147"/>
      <c r="CJ981" s="147"/>
      <c r="CK981" s="147"/>
    </row>
    <row r="982" spans="1:89">
      <c r="A982" s="147"/>
      <c r="B982" s="147"/>
      <c r="C982" s="147"/>
      <c r="D982" s="147"/>
      <c r="E982" s="147"/>
      <c r="F982" s="147"/>
      <c r="G982" s="147"/>
      <c r="H982" s="147"/>
      <c r="I982" s="147"/>
      <c r="J982" s="147"/>
      <c r="K982" s="147"/>
      <c r="L982" s="147"/>
      <c r="M982" s="147"/>
      <c r="N982" s="147"/>
      <c r="O982" s="158"/>
      <c r="P982" s="147"/>
      <c r="Q982" s="147"/>
      <c r="R982" s="147"/>
      <c r="S982" s="147"/>
      <c r="T982" s="147"/>
      <c r="U982" s="147"/>
      <c r="V982" s="147"/>
      <c r="W982" s="147"/>
      <c r="X982" s="147"/>
      <c r="Y982" s="147"/>
      <c r="Z982" s="147"/>
      <c r="AA982" s="147"/>
      <c r="AB982" s="147"/>
      <c r="AC982" s="147"/>
      <c r="AD982" s="147"/>
      <c r="AE982" s="147"/>
      <c r="AF982" s="147"/>
      <c r="AG982" s="147"/>
      <c r="AH982" s="147"/>
      <c r="AI982" s="147"/>
      <c r="AJ982" s="147"/>
      <c r="AK982" s="147"/>
      <c r="AL982" s="147"/>
      <c r="AM982" s="147"/>
      <c r="AN982" s="147"/>
      <c r="AO982" s="147"/>
      <c r="AP982" s="147"/>
      <c r="AQ982" s="147"/>
      <c r="AR982" s="147"/>
      <c r="AS982" s="147"/>
      <c r="AT982" s="147"/>
      <c r="AU982" s="147"/>
      <c r="AV982" s="147"/>
      <c r="AW982" s="147"/>
      <c r="AX982" s="147"/>
      <c r="AY982" s="147"/>
      <c r="AZ982" s="147"/>
      <c r="BA982" s="147"/>
      <c r="BB982" s="147"/>
      <c r="BC982" s="147"/>
      <c r="BD982" s="147"/>
      <c r="BE982" s="147"/>
      <c r="BF982" s="147"/>
      <c r="BG982" s="147"/>
      <c r="BH982" s="147"/>
      <c r="BI982" s="147"/>
      <c r="BJ982" s="147"/>
      <c r="BK982" s="147"/>
      <c r="BL982" s="147"/>
      <c r="BM982" s="147"/>
      <c r="BN982" s="147"/>
      <c r="BO982" s="147"/>
      <c r="BP982" s="147"/>
      <c r="BQ982" s="147"/>
      <c r="BR982" s="147"/>
      <c r="BS982" s="147"/>
      <c r="BT982" s="147"/>
      <c r="BU982" s="147"/>
      <c r="BV982" s="147"/>
      <c r="BW982" s="147"/>
      <c r="BX982" s="147"/>
      <c r="BY982" s="147"/>
      <c r="BZ982" s="147"/>
      <c r="CA982" s="147"/>
      <c r="CB982" s="147"/>
      <c r="CC982" s="147"/>
      <c r="CD982" s="147"/>
      <c r="CE982" s="147"/>
      <c r="CF982" s="147"/>
      <c r="CG982" s="147"/>
      <c r="CH982" s="147"/>
      <c r="CI982" s="147"/>
      <c r="CJ982" s="147"/>
      <c r="CK982" s="147"/>
    </row>
    <row r="983" spans="1:89">
      <c r="A983" s="147"/>
      <c r="B983" s="147"/>
      <c r="C983" s="147"/>
      <c r="D983" s="147"/>
      <c r="E983" s="147"/>
      <c r="F983" s="147"/>
      <c r="G983" s="147"/>
      <c r="H983" s="147"/>
      <c r="I983" s="147"/>
      <c r="J983" s="147"/>
      <c r="K983" s="147"/>
      <c r="L983" s="147"/>
      <c r="M983" s="147"/>
      <c r="N983" s="147"/>
      <c r="O983" s="158"/>
      <c r="P983" s="147"/>
      <c r="Q983" s="147"/>
      <c r="R983" s="147"/>
      <c r="S983" s="147"/>
      <c r="T983" s="147"/>
      <c r="U983" s="147"/>
      <c r="V983" s="147"/>
      <c r="W983" s="147"/>
      <c r="X983" s="147"/>
      <c r="Y983" s="147"/>
      <c r="Z983" s="147"/>
      <c r="AA983" s="147"/>
      <c r="AB983" s="147"/>
      <c r="AC983" s="147"/>
      <c r="AD983" s="147"/>
      <c r="AE983" s="147"/>
      <c r="AF983" s="147"/>
      <c r="AG983" s="147"/>
      <c r="AH983" s="147"/>
      <c r="AI983" s="147"/>
      <c r="AJ983" s="147"/>
      <c r="AK983" s="147"/>
      <c r="AL983" s="147"/>
      <c r="AM983" s="147"/>
      <c r="AN983" s="147"/>
      <c r="AO983" s="147"/>
      <c r="AP983" s="147"/>
      <c r="AQ983" s="147"/>
      <c r="AR983" s="147"/>
      <c r="AS983" s="147"/>
      <c r="AT983" s="147"/>
      <c r="AU983" s="147"/>
      <c r="AV983" s="147"/>
      <c r="AW983" s="147"/>
      <c r="AX983" s="147"/>
      <c r="AY983" s="147"/>
      <c r="AZ983" s="147"/>
      <c r="BA983" s="147"/>
      <c r="BB983" s="147"/>
      <c r="BC983" s="147"/>
      <c r="BD983" s="147"/>
      <c r="BE983" s="147"/>
      <c r="BF983" s="147"/>
      <c r="BG983" s="147"/>
      <c r="BH983" s="147"/>
      <c r="BI983" s="147"/>
      <c r="BJ983" s="147"/>
      <c r="BK983" s="147"/>
      <c r="BL983" s="147"/>
      <c r="BM983" s="147"/>
      <c r="BN983" s="147"/>
      <c r="BO983" s="147"/>
      <c r="BP983" s="147"/>
      <c r="BQ983" s="147"/>
      <c r="BR983" s="147"/>
      <c r="BS983" s="147"/>
      <c r="BT983" s="147"/>
      <c r="BU983" s="147"/>
      <c r="BV983" s="147"/>
      <c r="BW983" s="147"/>
      <c r="BX983" s="147"/>
      <c r="BY983" s="147"/>
      <c r="BZ983" s="147"/>
      <c r="CA983" s="147"/>
      <c r="CB983" s="147"/>
      <c r="CC983" s="147"/>
      <c r="CD983" s="147"/>
      <c r="CE983" s="147"/>
      <c r="CF983" s="147"/>
      <c r="CG983" s="147"/>
      <c r="CH983" s="147"/>
      <c r="CI983" s="147"/>
      <c r="CJ983" s="147"/>
      <c r="CK983" s="147"/>
    </row>
    <row r="984" spans="1:89">
      <c r="A984" s="147"/>
      <c r="B984" s="147"/>
      <c r="C984" s="147"/>
      <c r="D984" s="147"/>
      <c r="E984" s="147"/>
      <c r="F984" s="147"/>
      <c r="G984" s="147"/>
      <c r="H984" s="147"/>
      <c r="I984" s="147"/>
      <c r="J984" s="147"/>
      <c r="K984" s="147"/>
      <c r="L984" s="147"/>
      <c r="M984" s="147"/>
      <c r="N984" s="147"/>
      <c r="O984" s="158"/>
      <c r="P984" s="147"/>
      <c r="Q984" s="147"/>
      <c r="R984" s="147"/>
      <c r="S984" s="147"/>
      <c r="T984" s="147"/>
      <c r="U984" s="147"/>
      <c r="V984" s="147"/>
      <c r="W984" s="147"/>
      <c r="X984" s="147"/>
      <c r="Y984" s="147"/>
      <c r="Z984" s="147"/>
      <c r="AA984" s="147"/>
      <c r="AB984" s="147"/>
      <c r="AC984" s="147"/>
      <c r="AD984" s="147"/>
      <c r="AE984" s="147"/>
      <c r="AF984" s="147"/>
      <c r="AG984" s="147"/>
      <c r="AH984" s="147"/>
      <c r="AI984" s="147"/>
      <c r="AJ984" s="147"/>
      <c r="AK984" s="147"/>
      <c r="AL984" s="147"/>
      <c r="AM984" s="147"/>
      <c r="AN984" s="147"/>
      <c r="AO984" s="147"/>
      <c r="AP984" s="147"/>
      <c r="AQ984" s="147"/>
      <c r="AR984" s="147"/>
      <c r="AS984" s="147"/>
      <c r="AT984" s="147"/>
      <c r="AU984" s="147"/>
      <c r="AV984" s="147"/>
      <c r="AW984" s="147"/>
      <c r="AX984" s="147"/>
      <c r="AY984" s="147"/>
      <c r="AZ984" s="147"/>
      <c r="BA984" s="147"/>
      <c r="BB984" s="147"/>
      <c r="BC984" s="147"/>
      <c r="BD984" s="147"/>
      <c r="BE984" s="147"/>
      <c r="BF984" s="147"/>
      <c r="BG984" s="147"/>
      <c r="BH984" s="147"/>
      <c r="BI984" s="147"/>
      <c r="BJ984" s="147"/>
      <c r="BK984" s="147"/>
      <c r="BL984" s="147"/>
      <c r="BM984" s="147"/>
      <c r="BN984" s="147"/>
      <c r="BO984" s="147"/>
      <c r="BP984" s="147"/>
      <c r="BQ984" s="147"/>
      <c r="BR984" s="147"/>
      <c r="BS984" s="147"/>
      <c r="BT984" s="147"/>
      <c r="BU984" s="147"/>
      <c r="BV984" s="147"/>
      <c r="BW984" s="147"/>
      <c r="BX984" s="147"/>
      <c r="BY984" s="147"/>
      <c r="BZ984" s="147"/>
      <c r="CA984" s="147"/>
      <c r="CB984" s="147"/>
      <c r="CC984" s="147"/>
      <c r="CD984" s="147"/>
      <c r="CE984" s="147"/>
      <c r="CF984" s="147"/>
      <c r="CG984" s="147"/>
      <c r="CH984" s="147"/>
      <c r="CI984" s="147"/>
      <c r="CJ984" s="147"/>
      <c r="CK984" s="147"/>
    </row>
    <row r="985" spans="1:89">
      <c r="A985" s="147"/>
      <c r="B985" s="147"/>
      <c r="C985" s="147"/>
      <c r="D985" s="147"/>
      <c r="E985" s="147"/>
      <c r="F985" s="147"/>
      <c r="G985" s="147"/>
      <c r="H985" s="147"/>
      <c r="I985" s="147"/>
      <c r="J985" s="147"/>
      <c r="K985" s="147"/>
      <c r="L985" s="147"/>
      <c r="M985" s="147"/>
      <c r="N985" s="147"/>
      <c r="O985" s="158"/>
      <c r="P985" s="147"/>
      <c r="Q985" s="147"/>
      <c r="R985" s="147"/>
      <c r="S985" s="147"/>
      <c r="T985" s="147"/>
      <c r="U985" s="147"/>
      <c r="V985" s="147"/>
      <c r="W985" s="147"/>
      <c r="X985" s="147"/>
      <c r="Y985" s="147"/>
      <c r="Z985" s="147"/>
      <c r="AA985" s="147"/>
      <c r="AB985" s="147"/>
      <c r="AC985" s="147"/>
      <c r="AD985" s="147"/>
      <c r="AE985" s="147"/>
      <c r="AF985" s="147"/>
      <c r="AG985" s="147"/>
      <c r="AH985" s="147"/>
      <c r="AI985" s="147"/>
      <c r="AJ985" s="147"/>
      <c r="AK985" s="147"/>
      <c r="AL985" s="147"/>
      <c r="AM985" s="147"/>
      <c r="AN985" s="147"/>
      <c r="AO985" s="147"/>
      <c r="AP985" s="147"/>
      <c r="AQ985" s="147"/>
      <c r="AR985" s="147"/>
      <c r="AS985" s="147"/>
      <c r="AT985" s="147"/>
      <c r="AU985" s="147"/>
      <c r="AV985" s="147"/>
      <c r="AW985" s="147"/>
      <c r="AX985" s="147"/>
      <c r="AY985" s="147"/>
      <c r="AZ985" s="147"/>
      <c r="BA985" s="147"/>
      <c r="BB985" s="147"/>
      <c r="BC985" s="147"/>
      <c r="BD985" s="147"/>
      <c r="BE985" s="147"/>
      <c r="BF985" s="147"/>
      <c r="BG985" s="147"/>
      <c r="BH985" s="147"/>
      <c r="BI985" s="147"/>
      <c r="BJ985" s="147"/>
      <c r="BK985" s="147"/>
      <c r="BL985" s="147"/>
      <c r="BM985" s="147"/>
      <c r="BN985" s="147"/>
      <c r="BO985" s="147"/>
      <c r="BP985" s="147"/>
      <c r="BQ985" s="147"/>
      <c r="BR985" s="147"/>
      <c r="BS985" s="147"/>
      <c r="BT985" s="147"/>
      <c r="BU985" s="147"/>
      <c r="BV985" s="147"/>
      <c r="BW985" s="147"/>
      <c r="BX985" s="147"/>
      <c r="BY985" s="147"/>
      <c r="BZ985" s="147"/>
      <c r="CA985" s="147"/>
      <c r="CB985" s="147"/>
      <c r="CC985" s="147"/>
      <c r="CD985" s="147"/>
      <c r="CE985" s="147"/>
      <c r="CF985" s="147"/>
      <c r="CG985" s="147"/>
      <c r="CH985" s="147"/>
      <c r="CI985" s="147"/>
      <c r="CJ985" s="147"/>
      <c r="CK985" s="147"/>
    </row>
    <row r="986" spans="1:89">
      <c r="A986" s="147"/>
      <c r="B986" s="147"/>
      <c r="C986" s="147"/>
      <c r="D986" s="147"/>
      <c r="E986" s="147"/>
      <c r="F986" s="147"/>
      <c r="G986" s="147"/>
      <c r="H986" s="147"/>
      <c r="I986" s="147"/>
      <c r="J986" s="147"/>
      <c r="K986" s="147"/>
      <c r="L986" s="147"/>
      <c r="M986" s="147"/>
      <c r="N986" s="147"/>
      <c r="O986" s="158"/>
      <c r="P986" s="147"/>
      <c r="Q986" s="147"/>
      <c r="R986" s="147"/>
      <c r="S986" s="147"/>
      <c r="T986" s="147"/>
      <c r="U986" s="147"/>
      <c r="V986" s="147"/>
      <c r="W986" s="147"/>
      <c r="X986" s="147"/>
      <c r="Y986" s="147"/>
      <c r="Z986" s="147"/>
      <c r="AA986" s="147"/>
      <c r="AB986" s="147"/>
      <c r="AC986" s="147"/>
      <c r="AD986" s="147"/>
      <c r="AE986" s="147"/>
      <c r="AF986" s="147"/>
      <c r="AG986" s="147"/>
      <c r="AH986" s="147"/>
      <c r="AI986" s="147"/>
      <c r="AJ986" s="147"/>
      <c r="AK986" s="147"/>
      <c r="AL986" s="147"/>
      <c r="AM986" s="147"/>
      <c r="AN986" s="147"/>
      <c r="AO986" s="147"/>
      <c r="AP986" s="147"/>
      <c r="AQ986" s="147"/>
      <c r="AR986" s="147"/>
      <c r="AS986" s="147"/>
      <c r="AT986" s="147"/>
      <c r="AU986" s="147"/>
      <c r="AV986" s="147"/>
      <c r="AW986" s="147"/>
      <c r="AX986" s="147"/>
      <c r="AY986" s="147"/>
      <c r="AZ986" s="147"/>
      <c r="BA986" s="147"/>
      <c r="BB986" s="147"/>
      <c r="BC986" s="147"/>
      <c r="BD986" s="147"/>
      <c r="BE986" s="147"/>
      <c r="BF986" s="147"/>
      <c r="BG986" s="147"/>
      <c r="BH986" s="147"/>
      <c r="BI986" s="147"/>
      <c r="BJ986" s="147"/>
      <c r="BK986" s="147"/>
      <c r="BL986" s="147"/>
      <c r="BM986" s="147"/>
      <c r="BN986" s="147"/>
      <c r="BO986" s="147"/>
      <c r="BP986" s="147"/>
      <c r="BQ986" s="147"/>
      <c r="BR986" s="147"/>
      <c r="BS986" s="147"/>
      <c r="BT986" s="147"/>
      <c r="BU986" s="147"/>
      <c r="BV986" s="147"/>
      <c r="BW986" s="147"/>
      <c r="BX986" s="147"/>
      <c r="BY986" s="147"/>
      <c r="BZ986" s="147"/>
      <c r="CA986" s="147"/>
      <c r="CB986" s="147"/>
      <c r="CC986" s="147"/>
      <c r="CD986" s="147"/>
      <c r="CE986" s="147"/>
      <c r="CF986" s="147"/>
      <c r="CG986" s="147"/>
      <c r="CH986" s="147"/>
      <c r="CI986" s="147"/>
      <c r="CJ986" s="147"/>
      <c r="CK986" s="147"/>
    </row>
    <row r="987" spans="1:89">
      <c r="A987" s="147"/>
      <c r="B987" s="147"/>
      <c r="C987" s="147"/>
      <c r="D987" s="147"/>
      <c r="E987" s="147"/>
      <c r="F987" s="147"/>
      <c r="G987" s="147"/>
      <c r="H987" s="147"/>
      <c r="I987" s="147"/>
      <c r="J987" s="147"/>
      <c r="K987" s="147"/>
      <c r="L987" s="147"/>
      <c r="M987" s="147"/>
      <c r="N987" s="147"/>
      <c r="O987" s="158"/>
      <c r="P987" s="147"/>
      <c r="Q987" s="147"/>
      <c r="R987" s="147"/>
      <c r="S987" s="147"/>
      <c r="T987" s="147"/>
      <c r="U987" s="147"/>
      <c r="V987" s="147"/>
      <c r="W987" s="147"/>
      <c r="X987" s="147"/>
      <c r="Y987" s="147"/>
      <c r="Z987" s="147"/>
      <c r="AA987" s="147"/>
      <c r="AB987" s="147"/>
      <c r="AC987" s="147"/>
      <c r="AD987" s="147"/>
      <c r="AE987" s="147"/>
      <c r="AF987" s="147"/>
      <c r="AG987" s="147"/>
      <c r="AH987" s="147"/>
      <c r="AI987" s="147"/>
      <c r="AJ987" s="147"/>
      <c r="AK987" s="147"/>
      <c r="AL987" s="147"/>
      <c r="AM987" s="147"/>
      <c r="AN987" s="147"/>
      <c r="AO987" s="147"/>
      <c r="AP987" s="147"/>
      <c r="AQ987" s="147"/>
      <c r="AR987" s="147"/>
      <c r="AS987" s="147"/>
      <c r="AT987" s="147"/>
      <c r="AU987" s="147"/>
      <c r="AV987" s="147"/>
      <c r="AW987" s="147"/>
      <c r="AX987" s="147"/>
      <c r="AY987" s="147"/>
      <c r="AZ987" s="147"/>
      <c r="BA987" s="147"/>
      <c r="BB987" s="147"/>
      <c r="BC987" s="147"/>
      <c r="BD987" s="147"/>
      <c r="BE987" s="147"/>
      <c r="BF987" s="147"/>
      <c r="BG987" s="147"/>
      <c r="BH987" s="147"/>
      <c r="BI987" s="147"/>
      <c r="BJ987" s="147"/>
      <c r="BK987" s="147"/>
      <c r="BL987" s="147"/>
      <c r="BM987" s="147"/>
      <c r="BN987" s="147"/>
      <c r="BO987" s="147"/>
      <c r="BP987" s="147"/>
      <c r="BQ987" s="147"/>
      <c r="BR987" s="147"/>
      <c r="BS987" s="147"/>
      <c r="BT987" s="147"/>
      <c r="BU987" s="147"/>
      <c r="BV987" s="147"/>
      <c r="BW987" s="147"/>
      <c r="BX987" s="147"/>
      <c r="BY987" s="147"/>
      <c r="BZ987" s="147"/>
      <c r="CA987" s="147"/>
      <c r="CB987" s="147"/>
      <c r="CC987" s="147"/>
      <c r="CD987" s="147"/>
      <c r="CE987" s="147"/>
      <c r="CF987" s="147"/>
      <c r="CG987" s="147"/>
      <c r="CH987" s="147"/>
      <c r="CI987" s="147"/>
      <c r="CJ987" s="147"/>
      <c r="CK987" s="147"/>
    </row>
    <row r="988" spans="1:89">
      <c r="A988" s="147"/>
      <c r="B988" s="147"/>
      <c r="C988" s="147"/>
      <c r="D988" s="147"/>
      <c r="E988" s="147"/>
      <c r="F988" s="147"/>
      <c r="G988" s="147"/>
      <c r="H988" s="147"/>
      <c r="I988" s="147"/>
      <c r="J988" s="147"/>
      <c r="K988" s="147"/>
      <c r="L988" s="147"/>
      <c r="M988" s="147"/>
      <c r="N988" s="147"/>
      <c r="O988" s="158"/>
      <c r="P988" s="147"/>
      <c r="Q988" s="147"/>
      <c r="R988" s="147"/>
      <c r="S988" s="147"/>
      <c r="T988" s="147"/>
      <c r="U988" s="147"/>
      <c r="V988" s="147"/>
      <c r="W988" s="147"/>
      <c r="X988" s="147"/>
      <c r="Y988" s="147"/>
      <c r="Z988" s="147"/>
      <c r="AA988" s="147"/>
      <c r="AB988" s="147"/>
      <c r="AC988" s="147"/>
      <c r="AD988" s="147"/>
      <c r="AE988" s="147"/>
      <c r="AF988" s="147"/>
      <c r="AG988" s="147"/>
      <c r="AH988" s="147"/>
      <c r="AI988" s="147"/>
      <c r="AJ988" s="147"/>
      <c r="AK988" s="147"/>
      <c r="AL988" s="147"/>
      <c r="AM988" s="147"/>
      <c r="AN988" s="147"/>
      <c r="AO988" s="147"/>
      <c r="AP988" s="147"/>
      <c r="AQ988" s="147"/>
      <c r="AR988" s="147"/>
      <c r="AS988" s="147"/>
      <c r="AT988" s="147"/>
      <c r="AU988" s="147"/>
      <c r="AV988" s="147"/>
      <c r="AW988" s="147"/>
      <c r="AX988" s="147"/>
      <c r="AY988" s="147"/>
      <c r="AZ988" s="147"/>
      <c r="BA988" s="147"/>
      <c r="BB988" s="147"/>
      <c r="BC988" s="147"/>
      <c r="BD988" s="147"/>
      <c r="BE988" s="147"/>
      <c r="BF988" s="147"/>
      <c r="BG988" s="147"/>
      <c r="BH988" s="147"/>
      <c r="BI988" s="147"/>
      <c r="BJ988" s="147"/>
      <c r="BK988" s="147"/>
      <c r="BL988" s="147"/>
      <c r="BM988" s="147"/>
      <c r="BN988" s="147"/>
      <c r="BO988" s="147"/>
      <c r="BP988" s="147"/>
      <c r="BQ988" s="147"/>
      <c r="BR988" s="147"/>
      <c r="BS988" s="147"/>
      <c r="BT988" s="147"/>
      <c r="BU988" s="147"/>
      <c r="BV988" s="147"/>
      <c r="BW988" s="147"/>
      <c r="BX988" s="147"/>
      <c r="BY988" s="147"/>
      <c r="BZ988" s="147"/>
      <c r="CA988" s="147"/>
      <c r="CB988" s="147"/>
      <c r="CC988" s="147"/>
      <c r="CD988" s="147"/>
      <c r="CE988" s="147"/>
      <c r="CF988" s="147"/>
      <c r="CG988" s="147"/>
      <c r="CH988" s="147"/>
      <c r="CI988" s="147"/>
      <c r="CJ988" s="147"/>
      <c r="CK988" s="147"/>
    </row>
    <row r="989" spans="1:89">
      <c r="A989" s="147"/>
      <c r="B989" s="147"/>
      <c r="C989" s="147"/>
      <c r="D989" s="147"/>
      <c r="E989" s="147"/>
      <c r="F989" s="147"/>
      <c r="G989" s="147"/>
      <c r="H989" s="147"/>
      <c r="I989" s="147"/>
      <c r="J989" s="147"/>
      <c r="K989" s="147"/>
      <c r="L989" s="147"/>
      <c r="M989" s="147"/>
      <c r="N989" s="147"/>
      <c r="O989" s="158"/>
      <c r="P989" s="147"/>
      <c r="Q989" s="147"/>
      <c r="R989" s="147"/>
      <c r="S989" s="147"/>
      <c r="T989" s="147"/>
      <c r="U989" s="147"/>
      <c r="V989" s="147"/>
      <c r="W989" s="147"/>
      <c r="X989" s="147"/>
      <c r="Y989" s="147"/>
      <c r="Z989" s="147"/>
      <c r="AA989" s="147"/>
      <c r="AB989" s="147"/>
      <c r="AC989" s="147"/>
      <c r="AD989" s="147"/>
      <c r="AE989" s="147"/>
      <c r="AF989" s="147"/>
      <c r="AG989" s="147"/>
      <c r="AH989" s="147"/>
      <c r="AI989" s="147"/>
      <c r="AJ989" s="147"/>
      <c r="AK989" s="147"/>
      <c r="AL989" s="147"/>
      <c r="AM989" s="147"/>
      <c r="AN989" s="147"/>
      <c r="AO989" s="147"/>
      <c r="AP989" s="147"/>
      <c r="AQ989" s="147"/>
      <c r="AR989" s="147"/>
      <c r="AS989" s="147"/>
      <c r="AT989" s="147"/>
      <c r="AU989" s="147"/>
      <c r="AV989" s="147"/>
      <c r="AW989" s="147"/>
      <c r="AX989" s="147"/>
      <c r="AY989" s="147"/>
      <c r="AZ989" s="147"/>
      <c r="BA989" s="147"/>
      <c r="BB989" s="147"/>
      <c r="BC989" s="147"/>
      <c r="BD989" s="147"/>
      <c r="BE989" s="147"/>
      <c r="BF989" s="147"/>
      <c r="BG989" s="147"/>
      <c r="BH989" s="147"/>
      <c r="BI989" s="147"/>
      <c r="BJ989" s="147"/>
      <c r="BK989" s="147"/>
      <c r="BL989" s="147"/>
      <c r="BM989" s="147"/>
      <c r="BN989" s="147"/>
      <c r="BO989" s="147"/>
      <c r="BP989" s="147"/>
      <c r="BQ989" s="147"/>
      <c r="BR989" s="147"/>
      <c r="BS989" s="147"/>
      <c r="BT989" s="147"/>
      <c r="BU989" s="147"/>
      <c r="BV989" s="147"/>
      <c r="BW989" s="147"/>
      <c r="BX989" s="147"/>
      <c r="BY989" s="147"/>
      <c r="BZ989" s="147"/>
      <c r="CA989" s="147"/>
      <c r="CB989" s="147"/>
      <c r="CC989" s="147"/>
      <c r="CD989" s="147"/>
      <c r="CE989" s="147"/>
      <c r="CF989" s="147"/>
      <c r="CG989" s="147"/>
      <c r="CH989" s="147"/>
      <c r="CI989" s="147"/>
      <c r="CJ989" s="147"/>
      <c r="CK989" s="147"/>
    </row>
    <row r="990" spans="1:89">
      <c r="A990" s="147"/>
      <c r="B990" s="147"/>
      <c r="C990" s="147"/>
      <c r="D990" s="147"/>
      <c r="E990" s="147"/>
      <c r="F990" s="147"/>
      <c r="G990" s="147"/>
      <c r="H990" s="147"/>
      <c r="I990" s="147"/>
      <c r="J990" s="147"/>
      <c r="K990" s="147"/>
      <c r="L990" s="147"/>
      <c r="M990" s="147"/>
      <c r="N990" s="147"/>
      <c r="O990" s="158"/>
      <c r="P990" s="147"/>
      <c r="Q990" s="147"/>
      <c r="R990" s="147"/>
      <c r="S990" s="147"/>
      <c r="T990" s="147"/>
      <c r="U990" s="147"/>
      <c r="V990" s="147"/>
      <c r="W990" s="147"/>
      <c r="X990" s="147"/>
      <c r="Y990" s="147"/>
      <c r="Z990" s="147"/>
      <c r="AA990" s="147"/>
      <c r="AB990" s="147"/>
      <c r="AC990" s="147"/>
      <c r="AD990" s="147"/>
      <c r="AE990" s="147"/>
      <c r="AF990" s="147"/>
      <c r="AG990" s="147"/>
      <c r="AH990" s="147"/>
      <c r="AI990" s="147"/>
      <c r="AJ990" s="147"/>
      <c r="AK990" s="147"/>
      <c r="AL990" s="147"/>
      <c r="AM990" s="147"/>
      <c r="AN990" s="147"/>
      <c r="AO990" s="147"/>
      <c r="AP990" s="147"/>
      <c r="AQ990" s="147"/>
      <c r="AR990" s="147"/>
      <c r="AS990" s="147"/>
      <c r="AT990" s="147"/>
      <c r="AU990" s="147"/>
      <c r="AV990" s="147"/>
      <c r="AW990" s="147"/>
      <c r="AX990" s="147"/>
      <c r="AY990" s="147"/>
      <c r="AZ990" s="147"/>
      <c r="BA990" s="147"/>
      <c r="BB990" s="147"/>
      <c r="BC990" s="147"/>
      <c r="BD990" s="147"/>
      <c r="BE990" s="147"/>
      <c r="BF990" s="147"/>
      <c r="BG990" s="147"/>
      <c r="BH990" s="147"/>
      <c r="BI990" s="147"/>
      <c r="BJ990" s="147"/>
      <c r="BK990" s="147"/>
      <c r="BL990" s="147"/>
      <c r="BM990" s="147"/>
      <c r="BN990" s="147"/>
      <c r="BO990" s="147"/>
      <c r="BP990" s="147"/>
      <c r="BQ990" s="147"/>
      <c r="BR990" s="147"/>
      <c r="BS990" s="147"/>
      <c r="BT990" s="147"/>
      <c r="BU990" s="147"/>
      <c r="BV990" s="147"/>
      <c r="BW990" s="147"/>
      <c r="BX990" s="147"/>
      <c r="BY990" s="147"/>
      <c r="BZ990" s="147"/>
      <c r="CA990" s="147"/>
      <c r="CB990" s="147"/>
      <c r="CC990" s="147"/>
      <c r="CD990" s="147"/>
      <c r="CE990" s="147"/>
      <c r="CF990" s="147"/>
      <c r="CG990" s="147"/>
      <c r="CH990" s="147"/>
      <c r="CI990" s="147"/>
      <c r="CJ990" s="147"/>
      <c r="CK990" s="147"/>
    </row>
    <row r="991" spans="1:89">
      <c r="A991" s="147"/>
      <c r="B991" s="147"/>
      <c r="C991" s="147"/>
      <c r="D991" s="147"/>
      <c r="E991" s="147"/>
      <c r="F991" s="147"/>
      <c r="G991" s="147"/>
      <c r="H991" s="147"/>
      <c r="I991" s="147"/>
      <c r="J991" s="147"/>
      <c r="K991" s="147"/>
      <c r="L991" s="147"/>
      <c r="M991" s="147"/>
      <c r="N991" s="147"/>
      <c r="O991" s="158"/>
      <c r="P991" s="147"/>
      <c r="Q991" s="147"/>
      <c r="R991" s="147"/>
      <c r="S991" s="147"/>
      <c r="T991" s="147"/>
      <c r="U991" s="147"/>
      <c r="V991" s="147"/>
      <c r="W991" s="147"/>
      <c r="X991" s="147"/>
      <c r="Y991" s="147"/>
      <c r="Z991" s="147"/>
      <c r="AA991" s="147"/>
      <c r="AB991" s="147"/>
      <c r="AC991" s="147"/>
      <c r="AD991" s="147"/>
      <c r="AE991" s="147"/>
      <c r="AF991" s="147"/>
      <c r="AG991" s="147"/>
      <c r="AH991" s="147"/>
      <c r="AI991" s="147"/>
      <c r="AJ991" s="147"/>
      <c r="AK991" s="147"/>
      <c r="AL991" s="147"/>
      <c r="AM991" s="147"/>
      <c r="AN991" s="147"/>
      <c r="AO991" s="147"/>
      <c r="AP991" s="147"/>
      <c r="AQ991" s="147"/>
      <c r="AR991" s="147"/>
      <c r="AS991" s="147"/>
      <c r="AT991" s="147"/>
      <c r="AU991" s="147"/>
      <c r="AV991" s="147"/>
      <c r="AW991" s="147"/>
      <c r="AX991" s="147"/>
      <c r="AY991" s="147"/>
      <c r="AZ991" s="147"/>
      <c r="BA991" s="147"/>
      <c r="BB991" s="147"/>
      <c r="BC991" s="147"/>
      <c r="BD991" s="147"/>
      <c r="BE991" s="147"/>
      <c r="BF991" s="147"/>
      <c r="BG991" s="147"/>
      <c r="BH991" s="147"/>
      <c r="BI991" s="147"/>
      <c r="BJ991" s="147"/>
      <c r="BK991" s="147"/>
      <c r="BL991" s="147"/>
      <c r="BM991" s="147"/>
      <c r="BN991" s="147"/>
      <c r="BO991" s="147"/>
      <c r="BP991" s="147"/>
      <c r="BQ991" s="147"/>
      <c r="BR991" s="147"/>
      <c r="BS991" s="147"/>
      <c r="BT991" s="147"/>
      <c r="BU991" s="147"/>
      <c r="BV991" s="147"/>
      <c r="BW991" s="147"/>
      <c r="BX991" s="147"/>
      <c r="BY991" s="147"/>
      <c r="BZ991" s="147"/>
      <c r="CA991" s="147"/>
      <c r="CB991" s="147"/>
      <c r="CC991" s="147"/>
      <c r="CD991" s="147"/>
      <c r="CE991" s="147"/>
      <c r="CF991" s="147"/>
      <c r="CG991" s="147"/>
      <c r="CH991" s="147"/>
      <c r="CI991" s="147"/>
      <c r="CJ991" s="147"/>
      <c r="CK991" s="147"/>
    </row>
    <row r="992" spans="1:89">
      <c r="A992" s="147"/>
      <c r="B992" s="147"/>
      <c r="C992" s="147"/>
      <c r="D992" s="147"/>
      <c r="E992" s="147"/>
      <c r="F992" s="147"/>
      <c r="G992" s="147"/>
      <c r="H992" s="147"/>
      <c r="I992" s="147"/>
      <c r="J992" s="147"/>
      <c r="K992" s="147"/>
      <c r="L992" s="147"/>
      <c r="M992" s="147"/>
      <c r="N992" s="147"/>
      <c r="O992" s="158"/>
      <c r="P992" s="147"/>
      <c r="Q992" s="147"/>
      <c r="R992" s="147"/>
      <c r="S992" s="147"/>
      <c r="T992" s="147"/>
      <c r="U992" s="147"/>
      <c r="V992" s="147"/>
      <c r="W992" s="147"/>
      <c r="X992" s="147"/>
      <c r="Y992" s="147"/>
      <c r="Z992" s="147"/>
      <c r="AA992" s="147"/>
      <c r="AB992" s="147"/>
      <c r="AC992" s="147"/>
      <c r="AD992" s="147"/>
      <c r="AE992" s="147"/>
      <c r="AF992" s="147"/>
      <c r="AG992" s="147"/>
      <c r="AH992" s="147"/>
      <c r="AI992" s="147"/>
      <c r="AJ992" s="147"/>
      <c r="AK992" s="147"/>
      <c r="AL992" s="147"/>
      <c r="AM992" s="147"/>
      <c r="AN992" s="147"/>
      <c r="AO992" s="147"/>
      <c r="AP992" s="147"/>
      <c r="AQ992" s="147"/>
      <c r="AR992" s="147"/>
      <c r="AS992" s="147"/>
      <c r="AT992" s="147"/>
      <c r="AU992" s="147"/>
      <c r="AV992" s="147"/>
      <c r="AW992" s="147"/>
      <c r="AX992" s="147"/>
      <c r="AY992" s="147"/>
      <c r="AZ992" s="147"/>
      <c r="BA992" s="147"/>
      <c r="BB992" s="147"/>
      <c r="BC992" s="147"/>
      <c r="BD992" s="147"/>
      <c r="BE992" s="147"/>
      <c r="BF992" s="147"/>
      <c r="BG992" s="147"/>
      <c r="BH992" s="147"/>
      <c r="BI992" s="147"/>
      <c r="BJ992" s="147"/>
      <c r="BK992" s="147"/>
      <c r="BL992" s="147"/>
      <c r="BM992" s="147"/>
      <c r="BN992" s="147"/>
      <c r="BO992" s="147"/>
      <c r="BP992" s="147"/>
      <c r="BQ992" s="147"/>
      <c r="BR992" s="147"/>
      <c r="BS992" s="147"/>
      <c r="BT992" s="147"/>
      <c r="BU992" s="147"/>
      <c r="BV992" s="147"/>
      <c r="BW992" s="147"/>
      <c r="BX992" s="147"/>
      <c r="BY992" s="147"/>
      <c r="BZ992" s="147"/>
      <c r="CA992" s="147"/>
      <c r="CB992" s="147"/>
      <c r="CC992" s="147"/>
      <c r="CD992" s="147"/>
      <c r="CE992" s="147"/>
      <c r="CF992" s="147"/>
      <c r="CG992" s="147"/>
      <c r="CH992" s="147"/>
      <c r="CI992" s="147"/>
      <c r="CJ992" s="147"/>
      <c r="CK992" s="147"/>
    </row>
    <row r="993" spans="1:89">
      <c r="A993" s="147"/>
      <c r="B993" s="147"/>
      <c r="C993" s="147"/>
      <c r="D993" s="147"/>
      <c r="E993" s="147"/>
      <c r="F993" s="147"/>
      <c r="G993" s="147"/>
      <c r="H993" s="147"/>
      <c r="I993" s="147"/>
      <c r="J993" s="147"/>
      <c r="K993" s="147"/>
      <c r="L993" s="147"/>
      <c r="M993" s="147"/>
      <c r="N993" s="147"/>
      <c r="O993" s="158"/>
      <c r="P993" s="147"/>
      <c r="Q993" s="147"/>
      <c r="R993" s="147"/>
      <c r="S993" s="147"/>
      <c r="T993" s="147"/>
      <c r="U993" s="147"/>
      <c r="V993" s="147"/>
      <c r="W993" s="147"/>
      <c r="X993" s="147"/>
      <c r="Y993" s="147"/>
      <c r="Z993" s="147"/>
      <c r="AA993" s="147"/>
      <c r="AB993" s="147"/>
      <c r="AC993" s="147"/>
      <c r="AD993" s="147"/>
      <c r="AE993" s="147"/>
      <c r="AF993" s="147"/>
      <c r="AG993" s="147"/>
      <c r="AH993" s="147"/>
      <c r="AI993" s="147"/>
      <c r="AJ993" s="147"/>
      <c r="AK993" s="147"/>
      <c r="AL993" s="147"/>
      <c r="AM993" s="147"/>
      <c r="AN993" s="147"/>
      <c r="AO993" s="147"/>
      <c r="AP993" s="147"/>
      <c r="AQ993" s="147"/>
      <c r="AR993" s="147"/>
      <c r="AS993" s="147"/>
      <c r="AT993" s="147"/>
      <c r="AU993" s="147"/>
      <c r="AV993" s="147"/>
      <c r="AW993" s="147"/>
      <c r="AX993" s="147"/>
      <c r="AY993" s="147"/>
      <c r="AZ993" s="147"/>
      <c r="BA993" s="147"/>
      <c r="BB993" s="147"/>
      <c r="BC993" s="147"/>
      <c r="BD993" s="147"/>
      <c r="BE993" s="147"/>
      <c r="BF993" s="147"/>
      <c r="BG993" s="147"/>
      <c r="BH993" s="147"/>
      <c r="BI993" s="147"/>
      <c r="BJ993" s="147"/>
      <c r="BK993" s="147"/>
      <c r="BL993" s="147"/>
      <c r="BM993" s="147"/>
      <c r="BN993" s="147"/>
      <c r="BO993" s="147"/>
      <c r="BP993" s="147"/>
      <c r="BQ993" s="147"/>
      <c r="BR993" s="147"/>
      <c r="BS993" s="147"/>
      <c r="BT993" s="147"/>
      <c r="BU993" s="147"/>
      <c r="BV993" s="147"/>
      <c r="BW993" s="147"/>
      <c r="BX993" s="147"/>
      <c r="BY993" s="147"/>
      <c r="BZ993" s="147"/>
      <c r="CA993" s="147"/>
      <c r="CB993" s="147"/>
      <c r="CC993" s="147"/>
      <c r="CD993" s="147"/>
      <c r="CE993" s="147"/>
      <c r="CF993" s="147"/>
      <c r="CG993" s="147"/>
      <c r="CH993" s="147"/>
      <c r="CI993" s="147"/>
      <c r="CJ993" s="147"/>
      <c r="CK993" s="147"/>
    </row>
    <row r="994" spans="1:89">
      <c r="A994" s="147"/>
      <c r="B994" s="147"/>
      <c r="C994" s="147"/>
      <c r="D994" s="147"/>
      <c r="E994" s="147"/>
      <c r="F994" s="147"/>
      <c r="G994" s="147"/>
      <c r="H994" s="147"/>
      <c r="I994" s="147"/>
      <c r="J994" s="147"/>
      <c r="K994" s="147"/>
      <c r="L994" s="147"/>
      <c r="M994" s="147"/>
      <c r="N994" s="147"/>
      <c r="O994" s="158"/>
      <c r="P994" s="147"/>
      <c r="Q994" s="147"/>
      <c r="R994" s="147"/>
      <c r="S994" s="147"/>
      <c r="T994" s="147"/>
      <c r="U994" s="147"/>
      <c r="V994" s="147"/>
      <c r="W994" s="147"/>
      <c r="X994" s="147"/>
      <c r="Y994" s="147"/>
      <c r="Z994" s="147"/>
      <c r="AA994" s="147"/>
      <c r="AB994" s="147"/>
      <c r="AC994" s="147"/>
      <c r="AD994" s="147"/>
      <c r="AE994" s="147"/>
      <c r="AF994" s="147"/>
      <c r="AG994" s="147"/>
      <c r="AH994" s="147"/>
      <c r="AI994" s="147"/>
      <c r="AJ994" s="147"/>
      <c r="AK994" s="147"/>
      <c r="AL994" s="147"/>
      <c r="AM994" s="147"/>
      <c r="AN994" s="147"/>
      <c r="AO994" s="147"/>
      <c r="AP994" s="147"/>
      <c r="AQ994" s="147"/>
      <c r="AR994" s="147"/>
      <c r="AS994" s="147"/>
      <c r="AT994" s="147"/>
      <c r="AU994" s="147"/>
      <c r="AV994" s="147"/>
      <c r="AW994" s="147"/>
      <c r="AX994" s="147"/>
      <c r="AY994" s="147"/>
      <c r="AZ994" s="147"/>
      <c r="BA994" s="147"/>
      <c r="BB994" s="147"/>
      <c r="BC994" s="147"/>
      <c r="BD994" s="147"/>
      <c r="BE994" s="147"/>
      <c r="BF994" s="147"/>
      <c r="BG994" s="147"/>
      <c r="BH994" s="147"/>
      <c r="BI994" s="147"/>
      <c r="BJ994" s="147"/>
      <c r="BK994" s="147"/>
      <c r="BL994" s="147"/>
      <c r="BM994" s="147"/>
      <c r="BN994" s="147"/>
      <c r="BO994" s="147"/>
      <c r="BP994" s="147"/>
      <c r="BQ994" s="147"/>
      <c r="BR994" s="147"/>
      <c r="BS994" s="147"/>
      <c r="BT994" s="147"/>
      <c r="BU994" s="147"/>
      <c r="BV994" s="147"/>
      <c r="BW994" s="147"/>
      <c r="BX994" s="147"/>
      <c r="BY994" s="147"/>
      <c r="BZ994" s="147"/>
      <c r="CA994" s="147"/>
      <c r="CB994" s="147"/>
      <c r="CC994" s="147"/>
      <c r="CD994" s="147"/>
      <c r="CE994" s="147"/>
      <c r="CF994" s="147"/>
      <c r="CG994" s="147"/>
      <c r="CH994" s="147"/>
      <c r="CI994" s="147"/>
      <c r="CJ994" s="147"/>
      <c r="CK994" s="147"/>
    </row>
    <row r="995" spans="1:89">
      <c r="A995" s="147"/>
      <c r="B995" s="147"/>
      <c r="C995" s="147"/>
      <c r="D995" s="147"/>
      <c r="E995" s="147"/>
      <c r="F995" s="147"/>
      <c r="G995" s="147"/>
      <c r="H995" s="147"/>
      <c r="I995" s="147"/>
      <c r="J995" s="147"/>
      <c r="K995" s="147"/>
      <c r="L995" s="147"/>
      <c r="M995" s="147"/>
      <c r="N995" s="147"/>
      <c r="O995" s="158"/>
      <c r="P995" s="147"/>
      <c r="Q995" s="147"/>
      <c r="R995" s="147"/>
      <c r="S995" s="147"/>
      <c r="T995" s="147"/>
      <c r="U995" s="147"/>
      <c r="V995" s="147"/>
      <c r="W995" s="147"/>
      <c r="X995" s="147"/>
      <c r="Y995" s="147"/>
      <c r="Z995" s="147"/>
      <c r="AA995" s="147"/>
      <c r="AB995" s="147"/>
      <c r="AC995" s="147"/>
      <c r="AD995" s="147"/>
      <c r="AE995" s="147"/>
      <c r="AF995" s="147"/>
      <c r="AG995" s="147"/>
      <c r="AH995" s="147"/>
      <c r="AI995" s="147"/>
      <c r="AJ995" s="147"/>
      <c r="AK995" s="147"/>
      <c r="AL995" s="147"/>
      <c r="AM995" s="147"/>
      <c r="AN995" s="147"/>
      <c r="AO995" s="147"/>
      <c r="AP995" s="147"/>
      <c r="AQ995" s="147"/>
      <c r="AR995" s="147"/>
      <c r="AS995" s="147"/>
      <c r="AT995" s="147"/>
      <c r="AU995" s="147"/>
      <c r="AV995" s="147"/>
      <c r="AW995" s="147"/>
      <c r="AX995" s="147"/>
      <c r="AY995" s="147"/>
      <c r="AZ995" s="147"/>
      <c r="BA995" s="147"/>
      <c r="BB995" s="147"/>
      <c r="BC995" s="147"/>
      <c r="BD995" s="147"/>
      <c r="BE995" s="147"/>
      <c r="BF995" s="147"/>
      <c r="BG995" s="147"/>
      <c r="BH995" s="147"/>
      <c r="BI995" s="147"/>
      <c r="BJ995" s="147"/>
      <c r="BK995" s="147"/>
      <c r="BL995" s="147"/>
      <c r="BM995" s="147"/>
      <c r="BN995" s="147"/>
      <c r="BO995" s="147"/>
      <c r="BP995" s="147"/>
      <c r="BQ995" s="147"/>
      <c r="BR995" s="147"/>
      <c r="BS995" s="147"/>
      <c r="BT995" s="147"/>
      <c r="BU995" s="147"/>
      <c r="BV995" s="147"/>
      <c r="BW995" s="147"/>
      <c r="BX995" s="147"/>
      <c r="BY995" s="147"/>
      <c r="BZ995" s="147"/>
      <c r="CA995" s="147"/>
      <c r="CB995" s="147"/>
      <c r="CC995" s="147"/>
      <c r="CD995" s="147"/>
      <c r="CE995" s="147"/>
      <c r="CF995" s="147"/>
      <c r="CG995" s="147"/>
      <c r="CH995" s="147"/>
      <c r="CI995" s="147"/>
      <c r="CJ995" s="147"/>
      <c r="CK995" s="147"/>
    </row>
    <row r="996" spans="1:89">
      <c r="A996" s="147"/>
      <c r="B996" s="147"/>
      <c r="C996" s="147"/>
      <c r="D996" s="147"/>
      <c r="E996" s="147"/>
      <c r="F996" s="147"/>
      <c r="G996" s="147"/>
      <c r="H996" s="147"/>
      <c r="I996" s="147"/>
      <c r="J996" s="147"/>
      <c r="K996" s="147"/>
      <c r="L996" s="147"/>
      <c r="M996" s="147"/>
      <c r="N996" s="147"/>
      <c r="O996" s="158"/>
      <c r="P996" s="147"/>
      <c r="Q996" s="147"/>
      <c r="R996" s="147"/>
      <c r="S996" s="147"/>
      <c r="T996" s="147"/>
      <c r="U996" s="147"/>
      <c r="V996" s="147"/>
      <c r="W996" s="147"/>
      <c r="X996" s="147"/>
      <c r="Y996" s="147"/>
      <c r="Z996" s="147"/>
      <c r="AA996" s="147"/>
      <c r="AB996" s="147"/>
      <c r="AC996" s="147"/>
      <c r="AD996" s="147"/>
      <c r="AE996" s="147"/>
      <c r="AF996" s="147"/>
      <c r="AG996" s="147"/>
      <c r="AH996" s="147"/>
      <c r="AI996" s="147"/>
      <c r="AJ996" s="147"/>
      <c r="AK996" s="147"/>
      <c r="AL996" s="147"/>
      <c r="AM996" s="147"/>
      <c r="AN996" s="147"/>
      <c r="AO996" s="147"/>
      <c r="AP996" s="147"/>
      <c r="AQ996" s="147"/>
      <c r="AR996" s="147"/>
      <c r="AS996" s="147"/>
      <c r="AT996" s="147"/>
      <c r="AU996" s="147"/>
      <c r="AV996" s="147"/>
      <c r="AW996" s="147"/>
      <c r="AX996" s="147"/>
      <c r="AY996" s="147"/>
      <c r="AZ996" s="147"/>
      <c r="BA996" s="147"/>
      <c r="BB996" s="147"/>
      <c r="BC996" s="147"/>
      <c r="BD996" s="147"/>
      <c r="BE996" s="147"/>
      <c r="BF996" s="147"/>
      <c r="BG996" s="147"/>
      <c r="BH996" s="147"/>
      <c r="BI996" s="147"/>
      <c r="BJ996" s="147"/>
      <c r="BK996" s="147"/>
      <c r="BL996" s="147"/>
      <c r="BM996" s="147"/>
      <c r="BN996" s="147"/>
      <c r="BO996" s="147"/>
      <c r="BP996" s="147"/>
      <c r="BQ996" s="147"/>
      <c r="BR996" s="147"/>
      <c r="BS996" s="147"/>
      <c r="BT996" s="147"/>
      <c r="BU996" s="147"/>
      <c r="BV996" s="147"/>
      <c r="BW996" s="147"/>
      <c r="BX996" s="147"/>
      <c r="BY996" s="147"/>
      <c r="BZ996" s="147"/>
      <c r="CA996" s="147"/>
      <c r="CB996" s="147"/>
      <c r="CC996" s="147"/>
      <c r="CD996" s="147"/>
      <c r="CE996" s="147"/>
      <c r="CF996" s="147"/>
      <c r="CG996" s="147"/>
      <c r="CH996" s="147"/>
      <c r="CI996" s="147"/>
      <c r="CJ996" s="147"/>
      <c r="CK996" s="147"/>
    </row>
    <row r="997" spans="1:89">
      <c r="A997" s="147"/>
      <c r="B997" s="147"/>
      <c r="C997" s="147"/>
      <c r="D997" s="147"/>
      <c r="E997" s="147"/>
      <c r="F997" s="147"/>
      <c r="G997" s="147"/>
      <c r="H997" s="147"/>
      <c r="I997" s="147"/>
      <c r="J997" s="147"/>
      <c r="K997" s="147"/>
      <c r="L997" s="147"/>
      <c r="M997" s="147"/>
      <c r="N997" s="147"/>
      <c r="O997" s="158"/>
      <c r="P997" s="147"/>
      <c r="Q997" s="147"/>
      <c r="R997" s="147"/>
      <c r="S997" s="147"/>
      <c r="T997" s="147"/>
      <c r="U997" s="147"/>
      <c r="V997" s="147"/>
      <c r="W997" s="147"/>
      <c r="X997" s="147"/>
      <c r="Y997" s="147"/>
      <c r="Z997" s="147"/>
      <c r="AA997" s="147"/>
      <c r="AB997" s="147"/>
      <c r="AC997" s="147"/>
      <c r="AD997" s="147"/>
      <c r="AE997" s="147"/>
      <c r="AF997" s="147"/>
      <c r="AG997" s="147"/>
      <c r="AH997" s="147"/>
      <c r="AI997" s="147"/>
      <c r="AJ997" s="147"/>
      <c r="AK997" s="147"/>
      <c r="AL997" s="147"/>
      <c r="AM997" s="147"/>
      <c r="AN997" s="147"/>
      <c r="AO997" s="147"/>
      <c r="AP997" s="147"/>
      <c r="AQ997" s="147"/>
      <c r="AR997" s="147"/>
      <c r="AS997" s="147"/>
      <c r="AT997" s="147"/>
      <c r="AU997" s="147"/>
      <c r="AV997" s="147"/>
      <c r="AW997" s="147"/>
      <c r="AX997" s="147"/>
      <c r="AY997" s="147"/>
      <c r="AZ997" s="147"/>
      <c r="BA997" s="147"/>
      <c r="BB997" s="147"/>
      <c r="BC997" s="147"/>
      <c r="BD997" s="147"/>
      <c r="BE997" s="147"/>
      <c r="BF997" s="147"/>
      <c r="BG997" s="147"/>
      <c r="BH997" s="147"/>
      <c r="BI997" s="147"/>
      <c r="BJ997" s="147"/>
      <c r="BK997" s="147"/>
      <c r="BL997" s="147"/>
      <c r="BM997" s="147"/>
      <c r="BN997" s="147"/>
      <c r="BO997" s="147"/>
      <c r="BP997" s="147"/>
      <c r="BQ997" s="147"/>
      <c r="BR997" s="147"/>
      <c r="BS997" s="147"/>
      <c r="BT997" s="147"/>
      <c r="BU997" s="147"/>
      <c r="BV997" s="147"/>
      <c r="BW997" s="147"/>
      <c r="BX997" s="147"/>
      <c r="BY997" s="147"/>
      <c r="BZ997" s="147"/>
      <c r="CA997" s="147"/>
      <c r="CB997" s="147"/>
      <c r="CC997" s="147"/>
      <c r="CD997" s="147"/>
      <c r="CE997" s="147"/>
      <c r="CF997" s="147"/>
      <c r="CG997" s="147"/>
      <c r="CH997" s="147"/>
      <c r="CI997" s="147"/>
      <c r="CJ997" s="147"/>
      <c r="CK997" s="147"/>
    </row>
    <row r="998" spans="1:89">
      <c r="A998" s="147"/>
      <c r="B998" s="147"/>
      <c r="C998" s="147"/>
      <c r="D998" s="147"/>
      <c r="E998" s="147"/>
      <c r="F998" s="147"/>
      <c r="G998" s="147"/>
      <c r="H998" s="147"/>
      <c r="I998" s="147"/>
      <c r="J998" s="147"/>
      <c r="K998" s="147"/>
      <c r="L998" s="147"/>
      <c r="M998" s="147"/>
      <c r="N998" s="147"/>
      <c r="O998" s="158"/>
      <c r="P998" s="147"/>
      <c r="Q998" s="147"/>
      <c r="R998" s="147"/>
      <c r="S998" s="147"/>
      <c r="T998" s="147"/>
      <c r="U998" s="147"/>
      <c r="V998" s="147"/>
      <c r="W998" s="147"/>
      <c r="X998" s="147"/>
      <c r="Y998" s="147"/>
      <c r="Z998" s="147"/>
      <c r="AA998" s="147"/>
      <c r="AB998" s="147"/>
      <c r="AC998" s="147"/>
      <c r="AD998" s="147"/>
      <c r="AE998" s="147"/>
      <c r="AF998" s="147"/>
      <c r="AG998" s="147"/>
      <c r="AH998" s="147"/>
      <c r="AI998" s="147"/>
      <c r="AJ998" s="147"/>
      <c r="AK998" s="147"/>
      <c r="AL998" s="147"/>
      <c r="AM998" s="147"/>
      <c r="AN998" s="147"/>
      <c r="AO998" s="147"/>
      <c r="AP998" s="147"/>
      <c r="AQ998" s="147"/>
      <c r="AR998" s="147"/>
      <c r="AS998" s="147"/>
      <c r="AT998" s="147"/>
      <c r="AU998" s="147"/>
      <c r="AV998" s="147"/>
      <c r="AW998" s="147"/>
      <c r="AX998" s="147"/>
      <c r="AY998" s="147"/>
      <c r="AZ998" s="147"/>
      <c r="BA998" s="147"/>
      <c r="BB998" s="147"/>
      <c r="BC998" s="147"/>
      <c r="BD998" s="147"/>
      <c r="BE998" s="147"/>
      <c r="BF998" s="147"/>
      <c r="BG998" s="147"/>
      <c r="BH998" s="147"/>
      <c r="BI998" s="147"/>
      <c r="BJ998" s="147"/>
      <c r="BK998" s="147"/>
      <c r="BL998" s="147"/>
      <c r="BM998" s="147"/>
      <c r="BN998" s="147"/>
      <c r="BO998" s="147"/>
      <c r="BP998" s="147"/>
      <c r="BQ998" s="147"/>
      <c r="BR998" s="147"/>
      <c r="BS998" s="147"/>
      <c r="BT998" s="147"/>
      <c r="BU998" s="147"/>
      <c r="BV998" s="147"/>
      <c r="BW998" s="147"/>
      <c r="BX998" s="147"/>
      <c r="BY998" s="147"/>
      <c r="BZ998" s="147"/>
      <c r="CA998" s="147"/>
      <c r="CB998" s="147"/>
      <c r="CC998" s="147"/>
      <c r="CD998" s="147"/>
      <c r="CE998" s="147"/>
      <c r="CF998" s="147"/>
      <c r="CG998" s="147"/>
      <c r="CH998" s="147"/>
      <c r="CI998" s="147"/>
      <c r="CJ998" s="147"/>
      <c r="CK998" s="147"/>
    </row>
    <row r="999" spans="1:89">
      <c r="A999" s="147"/>
      <c r="B999" s="147"/>
      <c r="C999" s="147"/>
      <c r="D999" s="147"/>
      <c r="E999" s="147"/>
      <c r="F999" s="147"/>
      <c r="G999" s="147"/>
      <c r="H999" s="147"/>
      <c r="I999" s="147"/>
      <c r="J999" s="147"/>
      <c r="K999" s="147"/>
      <c r="L999" s="147"/>
      <c r="M999" s="147"/>
      <c r="N999" s="147"/>
      <c r="O999" s="158"/>
      <c r="P999" s="147"/>
      <c r="Q999" s="147"/>
      <c r="R999" s="147"/>
      <c r="S999" s="147"/>
      <c r="T999" s="147"/>
      <c r="U999" s="147"/>
      <c r="V999" s="147"/>
      <c r="W999" s="147"/>
      <c r="X999" s="147"/>
      <c r="Y999" s="147"/>
      <c r="Z999" s="147"/>
      <c r="AA999" s="147"/>
      <c r="AB999" s="147"/>
      <c r="AC999" s="147"/>
      <c r="AD999" s="147"/>
      <c r="AE999" s="147"/>
      <c r="AF999" s="147"/>
      <c r="AG999" s="147"/>
      <c r="AH999" s="147"/>
      <c r="AI999" s="147"/>
      <c r="AJ999" s="147"/>
      <c r="AK999" s="147"/>
      <c r="AL999" s="147"/>
      <c r="AM999" s="147"/>
      <c r="AN999" s="147"/>
      <c r="AO999" s="147"/>
      <c r="AP999" s="147"/>
      <c r="AQ999" s="147"/>
      <c r="AR999" s="147"/>
      <c r="AS999" s="147"/>
      <c r="AT999" s="147"/>
      <c r="AU999" s="147"/>
      <c r="AV999" s="147"/>
      <c r="AW999" s="147"/>
      <c r="AX999" s="147"/>
      <c r="AY999" s="147"/>
      <c r="AZ999" s="147"/>
      <c r="BA999" s="147"/>
      <c r="BB999" s="147"/>
      <c r="BC999" s="147"/>
      <c r="BD999" s="147"/>
      <c r="BE999" s="147"/>
      <c r="BF999" s="147"/>
      <c r="BG999" s="147"/>
      <c r="BH999" s="147"/>
      <c r="BI999" s="147"/>
      <c r="BJ999" s="147"/>
      <c r="BK999" s="147"/>
      <c r="BL999" s="147"/>
      <c r="BM999" s="147"/>
      <c r="BN999" s="147"/>
      <c r="BO999" s="147"/>
      <c r="BP999" s="147"/>
      <c r="BQ999" s="147"/>
      <c r="BR999" s="147"/>
      <c r="BS999" s="147"/>
      <c r="BT999" s="147"/>
      <c r="BU999" s="147"/>
      <c r="BV999" s="147"/>
      <c r="BW999" s="147"/>
      <c r="BX999" s="147"/>
      <c r="BY999" s="147"/>
      <c r="BZ999" s="147"/>
      <c r="CA999" s="147"/>
      <c r="CB999" s="147"/>
      <c r="CC999" s="147"/>
      <c r="CD999" s="147"/>
      <c r="CE999" s="147"/>
      <c r="CF999" s="147"/>
      <c r="CG999" s="147"/>
      <c r="CH999" s="147"/>
      <c r="CI999" s="147"/>
      <c r="CJ999" s="147"/>
      <c r="CK999" s="147"/>
    </row>
    <row r="1000" spans="1:89">
      <c r="A1000" s="147"/>
      <c r="B1000" s="147"/>
      <c r="C1000" s="147"/>
      <c r="D1000" s="147"/>
      <c r="E1000" s="147"/>
      <c r="F1000" s="147"/>
      <c r="G1000" s="147"/>
      <c r="H1000" s="147"/>
      <c r="I1000" s="147"/>
      <c r="J1000" s="147"/>
      <c r="K1000" s="147"/>
      <c r="L1000" s="147"/>
      <c r="M1000" s="147"/>
      <c r="N1000" s="147"/>
      <c r="O1000" s="158"/>
      <c r="P1000" s="147"/>
      <c r="Q1000" s="147"/>
      <c r="R1000" s="147"/>
      <c r="S1000" s="147"/>
      <c r="T1000" s="147"/>
      <c r="U1000" s="147"/>
      <c r="V1000" s="147"/>
      <c r="W1000" s="147"/>
      <c r="X1000" s="147"/>
      <c r="Y1000" s="147"/>
      <c r="Z1000" s="147"/>
      <c r="AA1000" s="147"/>
      <c r="AB1000" s="147"/>
      <c r="AC1000" s="147"/>
      <c r="AD1000" s="147"/>
      <c r="AE1000" s="147"/>
      <c r="AF1000" s="147"/>
      <c r="AG1000" s="147"/>
      <c r="AH1000" s="147"/>
      <c r="AI1000" s="147"/>
      <c r="AJ1000" s="147"/>
      <c r="AK1000" s="147"/>
      <c r="AL1000" s="147"/>
      <c r="AM1000" s="147"/>
      <c r="AN1000" s="147"/>
      <c r="AO1000" s="147"/>
      <c r="AP1000" s="147"/>
      <c r="AQ1000" s="147"/>
      <c r="AR1000" s="147"/>
      <c r="AS1000" s="147"/>
      <c r="AT1000" s="147"/>
      <c r="AU1000" s="147"/>
      <c r="AV1000" s="147"/>
      <c r="AW1000" s="147"/>
      <c r="AX1000" s="147"/>
      <c r="AY1000" s="147"/>
      <c r="AZ1000" s="147"/>
      <c r="BA1000" s="147"/>
      <c r="BB1000" s="147"/>
      <c r="BC1000" s="147"/>
      <c r="BD1000" s="147"/>
      <c r="BE1000" s="147"/>
      <c r="BF1000" s="147"/>
      <c r="BG1000" s="147"/>
      <c r="BH1000" s="147"/>
      <c r="BI1000" s="147"/>
      <c r="BJ1000" s="147"/>
      <c r="BK1000" s="147"/>
      <c r="BL1000" s="147"/>
      <c r="BM1000" s="147"/>
      <c r="BN1000" s="147"/>
      <c r="BO1000" s="147"/>
      <c r="BP1000" s="147"/>
      <c r="BQ1000" s="147"/>
      <c r="BR1000" s="147"/>
      <c r="BS1000" s="147"/>
      <c r="BT1000" s="147"/>
      <c r="BU1000" s="147"/>
      <c r="BV1000" s="147"/>
      <c r="BW1000" s="147"/>
      <c r="BX1000" s="147"/>
      <c r="BY1000" s="147"/>
      <c r="BZ1000" s="147"/>
      <c r="CA1000" s="147"/>
      <c r="CB1000" s="147"/>
      <c r="CC1000" s="147"/>
      <c r="CD1000" s="147"/>
      <c r="CE1000" s="147"/>
      <c r="CF1000" s="147"/>
      <c r="CG1000" s="147"/>
      <c r="CH1000" s="147"/>
      <c r="CI1000" s="147"/>
      <c r="CJ1000" s="147"/>
      <c r="CK1000" s="147"/>
    </row>
    <row r="1001" spans="1:89">
      <c r="A1001" s="147"/>
      <c r="B1001" s="147"/>
      <c r="C1001" s="147"/>
      <c r="D1001" s="147"/>
      <c r="E1001" s="147"/>
      <c r="F1001" s="147"/>
      <c r="G1001" s="147"/>
      <c r="H1001" s="147"/>
      <c r="I1001" s="147"/>
      <c r="J1001" s="147"/>
      <c r="K1001" s="147"/>
      <c r="L1001" s="147"/>
      <c r="M1001" s="147"/>
      <c r="N1001" s="147"/>
      <c r="O1001" s="158"/>
      <c r="P1001" s="147"/>
      <c r="Q1001" s="147"/>
      <c r="R1001" s="147"/>
      <c r="S1001" s="147"/>
      <c r="T1001" s="147"/>
      <c r="U1001" s="147"/>
      <c r="V1001" s="147"/>
      <c r="W1001" s="147"/>
      <c r="X1001" s="147"/>
      <c r="Y1001" s="147"/>
      <c r="Z1001" s="147"/>
      <c r="AA1001" s="147"/>
      <c r="AB1001" s="147"/>
      <c r="AC1001" s="147"/>
      <c r="AD1001" s="147"/>
      <c r="AE1001" s="147"/>
      <c r="AF1001" s="147"/>
      <c r="AG1001" s="147"/>
      <c r="AH1001" s="147"/>
      <c r="AI1001" s="147"/>
      <c r="AJ1001" s="147"/>
      <c r="AK1001" s="147"/>
      <c r="AL1001" s="147"/>
      <c r="AM1001" s="147"/>
      <c r="AN1001" s="147"/>
      <c r="AO1001" s="147"/>
      <c r="AP1001" s="147"/>
      <c r="AQ1001" s="147"/>
      <c r="AR1001" s="147"/>
      <c r="AS1001" s="147"/>
      <c r="AT1001" s="147"/>
      <c r="AU1001" s="147"/>
      <c r="AV1001" s="147"/>
      <c r="AW1001" s="147"/>
      <c r="AX1001" s="147"/>
      <c r="AY1001" s="147"/>
      <c r="AZ1001" s="147"/>
      <c r="BA1001" s="147"/>
      <c r="BB1001" s="147"/>
      <c r="BC1001" s="147"/>
      <c r="BD1001" s="147"/>
      <c r="BE1001" s="147"/>
      <c r="BF1001" s="147"/>
      <c r="BG1001" s="147"/>
      <c r="BH1001" s="147"/>
      <c r="BI1001" s="147"/>
      <c r="BJ1001" s="147"/>
      <c r="BK1001" s="147"/>
      <c r="BL1001" s="147"/>
      <c r="BM1001" s="147"/>
      <c r="BN1001" s="147"/>
      <c r="BO1001" s="147"/>
      <c r="BP1001" s="147"/>
      <c r="BQ1001" s="147"/>
      <c r="BR1001" s="147"/>
      <c r="BS1001" s="147"/>
      <c r="BT1001" s="147"/>
      <c r="BU1001" s="147"/>
      <c r="BV1001" s="147"/>
      <c r="BW1001" s="147"/>
      <c r="BX1001" s="147"/>
      <c r="BY1001" s="147"/>
      <c r="BZ1001" s="147"/>
      <c r="CA1001" s="147"/>
      <c r="CB1001" s="147"/>
      <c r="CC1001" s="147"/>
      <c r="CD1001" s="147"/>
      <c r="CE1001" s="147"/>
      <c r="CF1001" s="147"/>
      <c r="CG1001" s="147"/>
      <c r="CH1001" s="147"/>
      <c r="CI1001" s="147"/>
      <c r="CJ1001" s="147"/>
      <c r="CK1001" s="147"/>
    </row>
    <row r="1002" spans="1:89">
      <c r="A1002" s="147"/>
      <c r="B1002" s="147"/>
      <c r="C1002" s="147"/>
      <c r="D1002" s="147"/>
      <c r="E1002" s="147"/>
      <c r="F1002" s="147"/>
      <c r="G1002" s="147"/>
      <c r="H1002" s="147"/>
      <c r="I1002" s="147"/>
      <c r="J1002" s="147"/>
      <c r="K1002" s="147"/>
      <c r="L1002" s="147"/>
      <c r="M1002" s="147"/>
      <c r="N1002" s="147"/>
      <c r="O1002" s="158"/>
      <c r="P1002" s="147"/>
      <c r="Q1002" s="147"/>
      <c r="R1002" s="147"/>
      <c r="S1002" s="147"/>
      <c r="T1002" s="147"/>
      <c r="U1002" s="147"/>
      <c r="V1002" s="147"/>
      <c r="W1002" s="147"/>
      <c r="X1002" s="147"/>
      <c r="Y1002" s="147"/>
      <c r="Z1002" s="147"/>
      <c r="AA1002" s="147"/>
      <c r="AB1002" s="147"/>
      <c r="AC1002" s="147"/>
      <c r="AD1002" s="147"/>
      <c r="AE1002" s="147"/>
      <c r="AF1002" s="147"/>
      <c r="AG1002" s="147"/>
      <c r="AH1002" s="147"/>
      <c r="AI1002" s="147"/>
      <c r="AJ1002" s="147"/>
      <c r="AK1002" s="147"/>
      <c r="AL1002" s="147"/>
      <c r="AM1002" s="147"/>
      <c r="AN1002" s="147"/>
      <c r="AO1002" s="147"/>
      <c r="AP1002" s="147"/>
      <c r="AQ1002" s="147"/>
      <c r="AR1002" s="147"/>
      <c r="AS1002" s="147"/>
      <c r="AT1002" s="147"/>
      <c r="AU1002" s="147"/>
      <c r="AV1002" s="147"/>
      <c r="AW1002" s="147"/>
      <c r="AX1002" s="147"/>
      <c r="AY1002" s="147"/>
      <c r="AZ1002" s="147"/>
      <c r="BA1002" s="147"/>
      <c r="BB1002" s="147"/>
      <c r="BC1002" s="147"/>
      <c r="BD1002" s="147"/>
      <c r="BE1002" s="147"/>
      <c r="BF1002" s="147"/>
      <c r="BG1002" s="147"/>
      <c r="BH1002" s="147"/>
      <c r="BI1002" s="147"/>
      <c r="BJ1002" s="147"/>
      <c r="BK1002" s="147"/>
      <c r="BL1002" s="147"/>
      <c r="BM1002" s="147"/>
      <c r="BN1002" s="147"/>
      <c r="BO1002" s="147"/>
      <c r="BP1002" s="147"/>
      <c r="BQ1002" s="147"/>
      <c r="BR1002" s="147"/>
      <c r="BS1002" s="147"/>
      <c r="BT1002" s="147"/>
      <c r="BU1002" s="147"/>
      <c r="BV1002" s="147"/>
      <c r="BW1002" s="147"/>
      <c r="BX1002" s="147"/>
      <c r="BY1002" s="147"/>
      <c r="BZ1002" s="147"/>
      <c r="CA1002" s="147"/>
      <c r="CB1002" s="147"/>
      <c r="CC1002" s="147"/>
      <c r="CD1002" s="147"/>
      <c r="CE1002" s="147"/>
      <c r="CF1002" s="147"/>
      <c r="CG1002" s="147"/>
      <c r="CH1002" s="147"/>
      <c r="CI1002" s="147"/>
      <c r="CJ1002" s="147"/>
      <c r="CK1002" s="147"/>
    </row>
    <row r="1003" spans="1:89">
      <c r="A1003" s="147"/>
      <c r="B1003" s="147"/>
      <c r="C1003" s="147"/>
      <c r="D1003" s="147"/>
      <c r="E1003" s="147"/>
      <c r="F1003" s="147"/>
      <c r="G1003" s="147"/>
      <c r="H1003" s="147"/>
      <c r="I1003" s="147"/>
      <c r="J1003" s="147"/>
      <c r="K1003" s="147"/>
      <c r="L1003" s="147"/>
      <c r="M1003" s="147"/>
      <c r="N1003" s="147"/>
      <c r="O1003" s="158"/>
      <c r="P1003" s="147"/>
      <c r="Q1003" s="147"/>
      <c r="R1003" s="147"/>
      <c r="S1003" s="147"/>
      <c r="T1003" s="147"/>
      <c r="U1003" s="147"/>
      <c r="V1003" s="147"/>
      <c r="W1003" s="147"/>
      <c r="X1003" s="147"/>
      <c r="Y1003" s="147"/>
      <c r="Z1003" s="147"/>
      <c r="AA1003" s="147"/>
      <c r="AB1003" s="147"/>
      <c r="AC1003" s="147"/>
      <c r="AD1003" s="147"/>
      <c r="AE1003" s="147"/>
      <c r="AF1003" s="147"/>
      <c r="AG1003" s="147"/>
      <c r="AH1003" s="147"/>
      <c r="AI1003" s="147"/>
      <c r="AJ1003" s="147"/>
      <c r="AK1003" s="147"/>
      <c r="AL1003" s="147"/>
      <c r="AM1003" s="147"/>
      <c r="AN1003" s="147"/>
      <c r="AO1003" s="147"/>
      <c r="AP1003" s="147"/>
      <c r="AQ1003" s="147"/>
      <c r="AR1003" s="147"/>
      <c r="AS1003" s="147"/>
      <c r="AT1003" s="147"/>
      <c r="AU1003" s="147"/>
      <c r="AV1003" s="147"/>
      <c r="AW1003" s="147"/>
      <c r="AX1003" s="147"/>
      <c r="AY1003" s="147"/>
      <c r="AZ1003" s="147"/>
      <c r="BA1003" s="147"/>
      <c r="BB1003" s="147"/>
      <c r="BC1003" s="147"/>
      <c r="BD1003" s="147"/>
      <c r="BE1003" s="147"/>
      <c r="BF1003" s="147"/>
      <c r="BG1003" s="147"/>
      <c r="BH1003" s="147"/>
      <c r="BI1003" s="147"/>
      <c r="BJ1003" s="147"/>
      <c r="BK1003" s="147"/>
      <c r="BL1003" s="147"/>
      <c r="BM1003" s="147"/>
      <c r="BN1003" s="147"/>
      <c r="BO1003" s="147"/>
      <c r="BP1003" s="147"/>
      <c r="BQ1003" s="147"/>
      <c r="BR1003" s="147"/>
      <c r="BS1003" s="147"/>
      <c r="BT1003" s="147"/>
      <c r="BU1003" s="147"/>
      <c r="BV1003" s="147"/>
      <c r="BW1003" s="147"/>
      <c r="BX1003" s="147"/>
      <c r="BY1003" s="147"/>
      <c r="BZ1003" s="147"/>
      <c r="CA1003" s="147"/>
      <c r="CB1003" s="147"/>
      <c r="CC1003" s="147"/>
      <c r="CD1003" s="147"/>
      <c r="CE1003" s="147"/>
      <c r="CF1003" s="147"/>
      <c r="CG1003" s="147"/>
      <c r="CH1003" s="147"/>
      <c r="CI1003" s="147"/>
      <c r="CJ1003" s="147"/>
      <c r="CK1003" s="147"/>
    </row>
    <row r="1004" spans="1:89">
      <c r="A1004" s="147"/>
      <c r="B1004" s="147"/>
      <c r="C1004" s="147"/>
      <c r="D1004" s="147"/>
      <c r="E1004" s="147"/>
      <c r="F1004" s="147"/>
      <c r="G1004" s="147"/>
      <c r="H1004" s="147"/>
      <c r="I1004" s="147"/>
      <c r="J1004" s="147"/>
      <c r="K1004" s="147"/>
      <c r="L1004" s="147"/>
      <c r="M1004" s="147"/>
      <c r="N1004" s="147"/>
      <c r="O1004" s="158"/>
      <c r="P1004" s="147"/>
      <c r="Q1004" s="147"/>
      <c r="R1004" s="147"/>
      <c r="S1004" s="147"/>
      <c r="T1004" s="147"/>
      <c r="U1004" s="147"/>
      <c r="V1004" s="147"/>
      <c r="W1004" s="147"/>
      <c r="X1004" s="147"/>
      <c r="Y1004" s="147"/>
      <c r="Z1004" s="147"/>
      <c r="AA1004" s="147"/>
      <c r="AB1004" s="147"/>
      <c r="AC1004" s="147"/>
      <c r="AD1004" s="147"/>
      <c r="AE1004" s="147"/>
      <c r="AF1004" s="147"/>
      <c r="AG1004" s="147"/>
      <c r="AH1004" s="147"/>
      <c r="AI1004" s="147"/>
      <c r="AJ1004" s="147"/>
      <c r="AK1004" s="147"/>
      <c r="AL1004" s="147"/>
      <c r="AM1004" s="147"/>
      <c r="AN1004" s="147"/>
      <c r="AO1004" s="147"/>
      <c r="AP1004" s="147"/>
      <c r="AQ1004" s="147"/>
      <c r="AR1004" s="147"/>
      <c r="AS1004" s="147"/>
      <c r="AT1004" s="147"/>
      <c r="AU1004" s="147"/>
      <c r="AV1004" s="147"/>
      <c r="AW1004" s="147"/>
      <c r="AX1004" s="147"/>
      <c r="AY1004" s="147"/>
      <c r="AZ1004" s="147"/>
      <c r="BA1004" s="147"/>
      <c r="BB1004" s="147"/>
      <c r="BC1004" s="147"/>
      <c r="BD1004" s="147"/>
      <c r="BE1004" s="147"/>
      <c r="BF1004" s="147"/>
      <c r="BG1004" s="147"/>
      <c r="BH1004" s="147"/>
      <c r="BI1004" s="147"/>
      <c r="BJ1004" s="147"/>
      <c r="BK1004" s="147"/>
      <c r="BL1004" s="147"/>
      <c r="BM1004" s="147"/>
      <c r="BN1004" s="147"/>
      <c r="BO1004" s="147"/>
      <c r="BP1004" s="147"/>
      <c r="BQ1004" s="147"/>
      <c r="BR1004" s="147"/>
      <c r="BS1004" s="147"/>
      <c r="BT1004" s="147"/>
      <c r="BU1004" s="147"/>
      <c r="BV1004" s="147"/>
      <c r="BW1004" s="147"/>
      <c r="BX1004" s="147"/>
      <c r="BY1004" s="147"/>
      <c r="BZ1004" s="147"/>
      <c r="CA1004" s="147"/>
      <c r="CB1004" s="147"/>
      <c r="CC1004" s="147"/>
      <c r="CD1004" s="147"/>
      <c r="CE1004" s="147"/>
      <c r="CF1004" s="147"/>
      <c r="CG1004" s="147"/>
      <c r="CH1004" s="147"/>
      <c r="CI1004" s="147"/>
      <c r="CJ1004" s="147"/>
      <c r="CK1004" s="147"/>
    </row>
    <row r="1005" spans="1:89">
      <c r="A1005" s="147"/>
      <c r="B1005" s="147"/>
      <c r="C1005" s="147"/>
      <c r="D1005" s="147"/>
      <c r="E1005" s="147"/>
      <c r="F1005" s="147"/>
      <c r="G1005" s="147"/>
      <c r="H1005" s="147"/>
      <c r="I1005" s="147"/>
      <c r="J1005" s="147"/>
      <c r="K1005" s="147"/>
      <c r="L1005" s="147"/>
      <c r="M1005" s="147"/>
      <c r="N1005" s="147"/>
      <c r="O1005" s="158"/>
      <c r="P1005" s="147"/>
      <c r="Q1005" s="147"/>
      <c r="R1005" s="147"/>
      <c r="S1005" s="147"/>
      <c r="T1005" s="147"/>
      <c r="U1005" s="147"/>
      <c r="V1005" s="147"/>
      <c r="W1005" s="147"/>
      <c r="X1005" s="147"/>
      <c r="Y1005" s="147"/>
      <c r="Z1005" s="147"/>
      <c r="AA1005" s="147"/>
      <c r="AB1005" s="147"/>
      <c r="AC1005" s="147"/>
      <c r="AD1005" s="147"/>
      <c r="AE1005" s="147"/>
      <c r="AF1005" s="147"/>
      <c r="AG1005" s="147"/>
      <c r="AH1005" s="147"/>
      <c r="AI1005" s="147"/>
      <c r="AJ1005" s="147"/>
      <c r="AK1005" s="147"/>
      <c r="AL1005" s="147"/>
      <c r="AM1005" s="147"/>
      <c r="AN1005" s="147"/>
      <c r="AO1005" s="147"/>
      <c r="AP1005" s="147"/>
      <c r="AQ1005" s="147"/>
      <c r="AR1005" s="147"/>
      <c r="AS1005" s="147"/>
      <c r="AT1005" s="147"/>
      <c r="AU1005" s="147"/>
      <c r="AV1005" s="147"/>
      <c r="AW1005" s="147"/>
      <c r="AX1005" s="147"/>
      <c r="AY1005" s="147"/>
      <c r="AZ1005" s="147"/>
      <c r="BA1005" s="147"/>
      <c r="BB1005" s="147"/>
      <c r="BC1005" s="147"/>
      <c r="BD1005" s="147"/>
      <c r="BE1005" s="147"/>
      <c r="BF1005" s="147"/>
      <c r="BG1005" s="147"/>
      <c r="BH1005" s="147"/>
      <c r="BI1005" s="147"/>
      <c r="BJ1005" s="147"/>
      <c r="BK1005" s="147"/>
      <c r="BL1005" s="147"/>
      <c r="BM1005" s="147"/>
      <c r="BN1005" s="147"/>
      <c r="BO1005" s="147"/>
      <c r="BP1005" s="147"/>
      <c r="BQ1005" s="147"/>
      <c r="BR1005" s="147"/>
      <c r="BS1005" s="147"/>
      <c r="BT1005" s="147"/>
      <c r="BU1005" s="147"/>
      <c r="BV1005" s="147"/>
      <c r="BW1005" s="147"/>
      <c r="BX1005" s="147"/>
      <c r="BY1005" s="147"/>
      <c r="BZ1005" s="147"/>
      <c r="CA1005" s="147"/>
      <c r="CB1005" s="147"/>
      <c r="CC1005" s="147"/>
      <c r="CD1005" s="147"/>
      <c r="CE1005" s="147"/>
      <c r="CF1005" s="147"/>
      <c r="CG1005" s="147"/>
      <c r="CH1005" s="147"/>
      <c r="CI1005" s="147"/>
      <c r="CJ1005" s="147"/>
      <c r="CK1005" s="147"/>
    </row>
    <row r="1006" spans="1:89">
      <c r="A1006" s="147"/>
      <c r="B1006" s="147"/>
      <c r="C1006" s="147"/>
      <c r="D1006" s="147"/>
      <c r="E1006" s="147"/>
      <c r="F1006" s="147"/>
      <c r="G1006" s="147"/>
      <c r="H1006" s="147"/>
      <c r="I1006" s="147"/>
      <c r="J1006" s="147"/>
      <c r="K1006" s="147"/>
      <c r="L1006" s="147"/>
      <c r="M1006" s="147"/>
      <c r="N1006" s="147"/>
      <c r="O1006" s="158"/>
      <c r="P1006" s="147"/>
      <c r="Q1006" s="147"/>
      <c r="R1006" s="147"/>
      <c r="S1006" s="147"/>
      <c r="T1006" s="147"/>
      <c r="U1006" s="147"/>
      <c r="V1006" s="147"/>
      <c r="W1006" s="147"/>
      <c r="X1006" s="147"/>
      <c r="Y1006" s="147"/>
      <c r="Z1006" s="147"/>
      <c r="AA1006" s="147"/>
      <c r="AB1006" s="147"/>
      <c r="AC1006" s="147"/>
      <c r="AD1006" s="147"/>
      <c r="AE1006" s="147"/>
      <c r="AF1006" s="147"/>
      <c r="AG1006" s="147"/>
      <c r="AH1006" s="147"/>
      <c r="AI1006" s="147"/>
      <c r="AJ1006" s="147"/>
      <c r="AK1006" s="147"/>
      <c r="AL1006" s="147"/>
      <c r="AM1006" s="147"/>
      <c r="AN1006" s="147"/>
      <c r="AO1006" s="147"/>
      <c r="AP1006" s="147"/>
      <c r="AQ1006" s="147"/>
      <c r="AR1006" s="147"/>
      <c r="AS1006" s="147"/>
      <c r="AT1006" s="147"/>
      <c r="AU1006" s="147"/>
      <c r="AV1006" s="147"/>
      <c r="AW1006" s="147"/>
      <c r="AX1006" s="147"/>
      <c r="AY1006" s="147"/>
      <c r="AZ1006" s="147"/>
      <c r="BA1006" s="147"/>
      <c r="BB1006" s="147"/>
      <c r="BC1006" s="147"/>
      <c r="BD1006" s="147"/>
      <c r="BE1006" s="147"/>
      <c r="BF1006" s="147"/>
      <c r="BG1006" s="147"/>
      <c r="BH1006" s="147"/>
      <c r="BI1006" s="147"/>
      <c r="BJ1006" s="147"/>
      <c r="BK1006" s="147"/>
      <c r="BL1006" s="147"/>
      <c r="BM1006" s="147"/>
      <c r="BN1006" s="147"/>
      <c r="BO1006" s="147"/>
      <c r="BP1006" s="147"/>
      <c r="BQ1006" s="147"/>
      <c r="BR1006" s="147"/>
      <c r="BS1006" s="147"/>
      <c r="BT1006" s="147"/>
      <c r="BU1006" s="147"/>
      <c r="BV1006" s="147"/>
      <c r="BW1006" s="147"/>
      <c r="BX1006" s="147"/>
      <c r="BY1006" s="147"/>
      <c r="BZ1006" s="147"/>
      <c r="CA1006" s="147"/>
      <c r="CB1006" s="147"/>
      <c r="CC1006" s="147"/>
      <c r="CD1006" s="147"/>
      <c r="CE1006" s="147"/>
      <c r="CF1006" s="147"/>
      <c r="CG1006" s="147"/>
      <c r="CH1006" s="147"/>
      <c r="CI1006" s="147"/>
      <c r="CJ1006" s="147"/>
      <c r="CK1006" s="147"/>
    </row>
    <row r="1007" spans="1:89">
      <c r="A1007" s="147"/>
      <c r="B1007" s="147"/>
      <c r="C1007" s="147"/>
      <c r="D1007" s="147"/>
      <c r="E1007" s="147"/>
      <c r="F1007" s="147"/>
      <c r="G1007" s="147"/>
      <c r="H1007" s="147"/>
      <c r="I1007" s="147"/>
      <c r="J1007" s="147"/>
      <c r="K1007" s="147"/>
      <c r="L1007" s="147"/>
      <c r="M1007" s="147"/>
      <c r="N1007" s="147"/>
      <c r="O1007" s="158"/>
      <c r="P1007" s="147"/>
      <c r="Q1007" s="147"/>
      <c r="R1007" s="147"/>
      <c r="S1007" s="147"/>
      <c r="T1007" s="147"/>
      <c r="U1007" s="147"/>
      <c r="V1007" s="147"/>
      <c r="W1007" s="147"/>
      <c r="X1007" s="147"/>
      <c r="Y1007" s="147"/>
      <c r="Z1007" s="147"/>
      <c r="AA1007" s="147"/>
      <c r="AB1007" s="147"/>
      <c r="AC1007" s="147"/>
      <c r="AD1007" s="147"/>
      <c r="AE1007" s="147"/>
      <c r="AF1007" s="147"/>
      <c r="AG1007" s="147"/>
      <c r="AH1007" s="147"/>
      <c r="AI1007" s="147"/>
      <c r="AJ1007" s="147"/>
      <c r="AK1007" s="147"/>
      <c r="AL1007" s="147"/>
      <c r="AM1007" s="147"/>
      <c r="AN1007" s="147"/>
      <c r="AO1007" s="147"/>
      <c r="AP1007" s="147"/>
      <c r="AQ1007" s="147"/>
      <c r="AR1007" s="147"/>
      <c r="AS1007" s="147"/>
      <c r="AT1007" s="147"/>
      <c r="AU1007" s="147"/>
      <c r="AV1007" s="147"/>
      <c r="AW1007" s="147"/>
      <c r="AX1007" s="147"/>
      <c r="AY1007" s="147"/>
      <c r="AZ1007" s="147"/>
      <c r="BA1007" s="147"/>
      <c r="BB1007" s="147"/>
      <c r="BC1007" s="147"/>
      <c r="BD1007" s="147"/>
      <c r="BE1007" s="147"/>
      <c r="BF1007" s="147"/>
      <c r="BG1007" s="147"/>
      <c r="BH1007" s="147"/>
      <c r="BI1007" s="147"/>
      <c r="BJ1007" s="147"/>
      <c r="BK1007" s="147"/>
      <c r="BL1007" s="147"/>
      <c r="BM1007" s="147"/>
      <c r="BN1007" s="147"/>
      <c r="BO1007" s="147"/>
      <c r="BP1007" s="147"/>
      <c r="BQ1007" s="147"/>
      <c r="BR1007" s="147"/>
      <c r="BS1007" s="147"/>
      <c r="BT1007" s="147"/>
      <c r="BU1007" s="147"/>
      <c r="BV1007" s="147"/>
      <c r="BW1007" s="147"/>
      <c r="BX1007" s="147"/>
      <c r="BY1007" s="147"/>
      <c r="BZ1007" s="147"/>
      <c r="CA1007" s="147"/>
      <c r="CB1007" s="147"/>
      <c r="CC1007" s="147"/>
      <c r="CD1007" s="147"/>
      <c r="CE1007" s="147"/>
      <c r="CF1007" s="147"/>
      <c r="CG1007" s="147"/>
      <c r="CH1007" s="147"/>
      <c r="CI1007" s="147"/>
      <c r="CJ1007" s="147"/>
      <c r="CK1007" s="147"/>
    </row>
    <row r="1008" spans="1:89">
      <c r="A1008" s="147"/>
      <c r="B1008" s="147"/>
      <c r="C1008" s="147"/>
      <c r="D1008" s="147"/>
      <c r="E1008" s="147"/>
      <c r="F1008" s="147"/>
      <c r="G1008" s="147"/>
      <c r="H1008" s="147"/>
      <c r="I1008" s="147"/>
      <c r="J1008" s="147"/>
      <c r="K1008" s="147"/>
      <c r="L1008" s="147"/>
      <c r="M1008" s="147"/>
      <c r="N1008" s="147"/>
      <c r="O1008" s="158"/>
      <c r="P1008" s="147"/>
      <c r="Q1008" s="147"/>
      <c r="R1008" s="147"/>
      <c r="S1008" s="147"/>
      <c r="T1008" s="147"/>
      <c r="U1008" s="147"/>
      <c r="V1008" s="147"/>
      <c r="W1008" s="147"/>
      <c r="X1008" s="147"/>
      <c r="Y1008" s="147"/>
      <c r="Z1008" s="147"/>
      <c r="AA1008" s="147"/>
      <c r="AB1008" s="147"/>
      <c r="AC1008" s="147"/>
      <c r="AD1008" s="147"/>
      <c r="AE1008" s="147"/>
      <c r="AF1008" s="147"/>
      <c r="AG1008" s="147"/>
      <c r="AH1008" s="147"/>
      <c r="AI1008" s="147"/>
      <c r="AJ1008" s="147"/>
      <c r="AK1008" s="147"/>
      <c r="AL1008" s="147"/>
      <c r="AM1008" s="147"/>
      <c r="AN1008" s="147"/>
      <c r="AO1008" s="147"/>
      <c r="AP1008" s="147"/>
      <c r="AQ1008" s="147"/>
      <c r="AR1008" s="147"/>
      <c r="AS1008" s="147"/>
      <c r="AT1008" s="147"/>
      <c r="AU1008" s="147"/>
      <c r="AV1008" s="147"/>
      <c r="AW1008" s="147"/>
      <c r="AX1008" s="147"/>
      <c r="AY1008" s="147"/>
      <c r="AZ1008" s="147"/>
      <c r="BA1008" s="147"/>
      <c r="BB1008" s="147"/>
      <c r="BC1008" s="147"/>
      <c r="BD1008" s="147"/>
      <c r="BE1008" s="147"/>
      <c r="BF1008" s="147"/>
      <c r="BG1008" s="147"/>
      <c r="BH1008" s="147"/>
      <c r="BI1008" s="147"/>
      <c r="BJ1008" s="147"/>
      <c r="BK1008" s="147"/>
      <c r="BL1008" s="147"/>
      <c r="BM1008" s="147"/>
      <c r="BN1008" s="147"/>
      <c r="BO1008" s="147"/>
      <c r="BP1008" s="147"/>
      <c r="BQ1008" s="147"/>
      <c r="BR1008" s="147"/>
      <c r="BS1008" s="147"/>
      <c r="BT1008" s="147"/>
      <c r="BU1008" s="147"/>
      <c r="BV1008" s="147"/>
      <c r="BW1008" s="147"/>
      <c r="BX1008" s="147"/>
      <c r="BY1008" s="147"/>
      <c r="BZ1008" s="147"/>
      <c r="CA1008" s="147"/>
      <c r="CB1008" s="147"/>
      <c r="CC1008" s="147"/>
      <c r="CD1008" s="147"/>
      <c r="CE1008" s="147"/>
      <c r="CF1008" s="147"/>
      <c r="CG1008" s="147"/>
      <c r="CH1008" s="147"/>
      <c r="CI1008" s="147"/>
      <c r="CJ1008" s="147"/>
      <c r="CK1008" s="147"/>
    </row>
    <row r="1009" spans="1:89">
      <c r="A1009" s="147"/>
      <c r="B1009" s="147"/>
      <c r="C1009" s="147"/>
      <c r="D1009" s="147"/>
      <c r="E1009" s="147"/>
      <c r="F1009" s="147"/>
      <c r="G1009" s="147"/>
      <c r="H1009" s="147"/>
      <c r="I1009" s="147"/>
      <c r="J1009" s="147"/>
      <c r="K1009" s="147"/>
      <c r="L1009" s="147"/>
      <c r="M1009" s="147"/>
      <c r="N1009" s="147"/>
      <c r="O1009" s="158"/>
      <c r="P1009" s="147"/>
      <c r="Q1009" s="147"/>
      <c r="R1009" s="147"/>
      <c r="S1009" s="147"/>
      <c r="T1009" s="147"/>
      <c r="U1009" s="147"/>
      <c r="V1009" s="147"/>
      <c r="W1009" s="147"/>
      <c r="X1009" s="147"/>
      <c r="Y1009" s="147"/>
      <c r="Z1009" s="147"/>
      <c r="AA1009" s="147"/>
      <c r="AB1009" s="147"/>
      <c r="AC1009" s="147"/>
      <c r="AD1009" s="147"/>
      <c r="AE1009" s="147"/>
      <c r="AF1009" s="147"/>
      <c r="AG1009" s="147"/>
      <c r="AH1009" s="147"/>
      <c r="AI1009" s="147"/>
      <c r="AJ1009" s="147"/>
      <c r="AK1009" s="147"/>
      <c r="AL1009" s="147"/>
      <c r="AM1009" s="147"/>
      <c r="AN1009" s="147"/>
      <c r="AO1009" s="147"/>
      <c r="AP1009" s="147"/>
      <c r="AQ1009" s="147"/>
      <c r="AR1009" s="147"/>
      <c r="AS1009" s="147"/>
      <c r="AT1009" s="147"/>
      <c r="AU1009" s="147"/>
      <c r="AV1009" s="147"/>
      <c r="AW1009" s="147"/>
      <c r="AX1009" s="147"/>
      <c r="AY1009" s="147"/>
      <c r="AZ1009" s="147"/>
      <c r="BA1009" s="147"/>
      <c r="BB1009" s="147"/>
      <c r="BC1009" s="147"/>
      <c r="BD1009" s="147"/>
      <c r="BE1009" s="147"/>
      <c r="BF1009" s="147"/>
      <c r="BG1009" s="147"/>
      <c r="BH1009" s="147"/>
      <c r="BI1009" s="147"/>
      <c r="BJ1009" s="147"/>
      <c r="BK1009" s="147"/>
      <c r="BL1009" s="147"/>
      <c r="BM1009" s="147"/>
      <c r="BN1009" s="147"/>
      <c r="BO1009" s="147"/>
      <c r="BP1009" s="147"/>
      <c r="BQ1009" s="147"/>
      <c r="BR1009" s="147"/>
      <c r="BS1009" s="147"/>
      <c r="BT1009" s="147"/>
      <c r="BU1009" s="147"/>
      <c r="BV1009" s="147"/>
      <c r="BW1009" s="147"/>
      <c r="BX1009" s="147"/>
      <c r="BY1009" s="147"/>
      <c r="BZ1009" s="147"/>
      <c r="CA1009" s="147"/>
      <c r="CB1009" s="147"/>
      <c r="CC1009" s="147"/>
      <c r="CD1009" s="147"/>
      <c r="CE1009" s="147"/>
      <c r="CF1009" s="147"/>
      <c r="CG1009" s="147"/>
      <c r="CH1009" s="147"/>
      <c r="CI1009" s="147"/>
      <c r="CJ1009" s="147"/>
      <c r="CK1009" s="147"/>
    </row>
    <row r="1010" spans="1:89">
      <c r="A1010" s="147"/>
      <c r="B1010" s="147"/>
      <c r="C1010" s="147"/>
      <c r="D1010" s="147"/>
      <c r="E1010" s="147"/>
      <c r="F1010" s="147"/>
      <c r="G1010" s="147"/>
      <c r="H1010" s="147"/>
      <c r="I1010" s="147"/>
      <c r="J1010" s="147"/>
      <c r="K1010" s="147"/>
      <c r="L1010" s="147"/>
      <c r="M1010" s="147"/>
      <c r="N1010" s="147"/>
      <c r="O1010" s="158"/>
      <c r="P1010" s="147"/>
      <c r="Q1010" s="147"/>
      <c r="R1010" s="147"/>
      <c r="S1010" s="147"/>
      <c r="T1010" s="147"/>
      <c r="U1010" s="147"/>
      <c r="V1010" s="147"/>
      <c r="W1010" s="147"/>
      <c r="X1010" s="147"/>
      <c r="Y1010" s="147"/>
      <c r="Z1010" s="147"/>
      <c r="AA1010" s="147"/>
      <c r="AB1010" s="147"/>
      <c r="AC1010" s="147"/>
      <c r="AD1010" s="147"/>
      <c r="AE1010" s="147"/>
      <c r="AF1010" s="147"/>
      <c r="AG1010" s="147"/>
      <c r="AH1010" s="147"/>
      <c r="AI1010" s="147"/>
      <c r="AJ1010" s="147"/>
      <c r="AK1010" s="147"/>
      <c r="AL1010" s="147"/>
      <c r="AM1010" s="147"/>
      <c r="AN1010" s="147"/>
      <c r="AO1010" s="147"/>
      <c r="AP1010" s="147"/>
      <c r="AQ1010" s="147"/>
      <c r="AR1010" s="147"/>
      <c r="AS1010" s="147"/>
      <c r="AT1010" s="147"/>
      <c r="AU1010" s="147"/>
      <c r="AV1010" s="147"/>
      <c r="AW1010" s="147"/>
      <c r="AX1010" s="147"/>
      <c r="AY1010" s="147"/>
      <c r="AZ1010" s="147"/>
      <c r="BA1010" s="147"/>
      <c r="BB1010" s="147"/>
      <c r="BC1010" s="147"/>
      <c r="BD1010" s="147"/>
      <c r="BE1010" s="147"/>
      <c r="BF1010" s="147"/>
      <c r="BG1010" s="147"/>
      <c r="BH1010" s="147"/>
      <c r="BI1010" s="147"/>
      <c r="BJ1010" s="147"/>
      <c r="BK1010" s="147"/>
      <c r="BL1010" s="147"/>
      <c r="BM1010" s="147"/>
      <c r="BN1010" s="147"/>
      <c r="BO1010" s="147"/>
      <c r="BP1010" s="147"/>
      <c r="BQ1010" s="147"/>
      <c r="BR1010" s="147"/>
      <c r="BS1010" s="147"/>
      <c r="BT1010" s="147"/>
      <c r="BU1010" s="147"/>
      <c r="BV1010" s="147"/>
      <c r="BW1010" s="147"/>
      <c r="BX1010" s="147"/>
      <c r="BY1010" s="147"/>
      <c r="BZ1010" s="147"/>
      <c r="CA1010" s="147"/>
      <c r="CB1010" s="147"/>
      <c r="CC1010" s="147"/>
      <c r="CD1010" s="147"/>
      <c r="CE1010" s="147"/>
      <c r="CF1010" s="147"/>
      <c r="CG1010" s="147"/>
      <c r="CH1010" s="147"/>
      <c r="CI1010" s="147"/>
      <c r="CJ1010" s="147"/>
      <c r="CK1010" s="147"/>
    </row>
    <row r="1011" spans="1:89">
      <c r="A1011" s="147"/>
      <c r="B1011" s="147"/>
      <c r="C1011" s="147"/>
      <c r="D1011" s="147"/>
      <c r="E1011" s="147"/>
      <c r="F1011" s="147"/>
      <c r="G1011" s="147"/>
      <c r="H1011" s="147"/>
      <c r="I1011" s="147"/>
      <c r="J1011" s="147"/>
      <c r="K1011" s="147"/>
      <c r="L1011" s="147"/>
      <c r="M1011" s="147"/>
      <c r="N1011" s="147"/>
      <c r="O1011" s="158"/>
      <c r="P1011" s="147"/>
      <c r="Q1011" s="147"/>
      <c r="R1011" s="147"/>
      <c r="S1011" s="147"/>
      <c r="T1011" s="147"/>
      <c r="U1011" s="147"/>
      <c r="V1011" s="147"/>
      <c r="W1011" s="147"/>
      <c r="X1011" s="147"/>
      <c r="Y1011" s="147"/>
      <c r="Z1011" s="147"/>
      <c r="AA1011" s="147"/>
      <c r="AB1011" s="147"/>
      <c r="AC1011" s="147"/>
      <c r="AD1011" s="147"/>
      <c r="AE1011" s="147"/>
      <c r="AF1011" s="147"/>
      <c r="AG1011" s="147"/>
      <c r="AH1011" s="147"/>
      <c r="AI1011" s="147"/>
      <c r="AJ1011" s="147"/>
      <c r="AK1011" s="147"/>
      <c r="AL1011" s="147"/>
      <c r="AM1011" s="147"/>
      <c r="AN1011" s="147"/>
      <c r="AO1011" s="147"/>
      <c r="AP1011" s="147"/>
      <c r="AQ1011" s="147"/>
      <c r="AR1011" s="147"/>
      <c r="AS1011" s="147"/>
      <c r="AT1011" s="147"/>
      <c r="AU1011" s="147"/>
      <c r="AV1011" s="147"/>
      <c r="AW1011" s="147"/>
      <c r="AX1011" s="147"/>
      <c r="AY1011" s="147"/>
      <c r="AZ1011" s="147"/>
      <c r="BA1011" s="147"/>
      <c r="BB1011" s="147"/>
      <c r="BC1011" s="147"/>
      <c r="BD1011" s="147"/>
      <c r="BE1011" s="147"/>
      <c r="BF1011" s="147"/>
      <c r="BG1011" s="147"/>
      <c r="BH1011" s="147"/>
      <c r="BI1011" s="147"/>
      <c r="BJ1011" s="147"/>
      <c r="BK1011" s="147"/>
      <c r="BL1011" s="147"/>
      <c r="BM1011" s="147"/>
      <c r="BN1011" s="147"/>
      <c r="BO1011" s="147"/>
      <c r="BP1011" s="147"/>
      <c r="BQ1011" s="147"/>
      <c r="BR1011" s="147"/>
      <c r="BS1011" s="147"/>
      <c r="BT1011" s="147"/>
      <c r="BU1011" s="147"/>
      <c r="BV1011" s="147"/>
      <c r="BW1011" s="147"/>
      <c r="BX1011" s="147"/>
      <c r="BY1011" s="147"/>
      <c r="BZ1011" s="147"/>
      <c r="CA1011" s="147"/>
      <c r="CB1011" s="147"/>
      <c r="CC1011" s="147"/>
      <c r="CD1011" s="147"/>
      <c r="CE1011" s="147"/>
      <c r="CF1011" s="147"/>
      <c r="CG1011" s="147"/>
      <c r="CH1011" s="147"/>
      <c r="CI1011" s="147"/>
      <c r="CJ1011" s="147"/>
      <c r="CK1011" s="147"/>
    </row>
    <row r="1012" spans="1:89">
      <c r="A1012" s="147"/>
      <c r="B1012" s="147"/>
      <c r="C1012" s="147"/>
      <c r="D1012" s="147"/>
      <c r="E1012" s="147"/>
      <c r="F1012" s="147"/>
      <c r="G1012" s="147"/>
      <c r="H1012" s="147"/>
      <c r="I1012" s="147"/>
      <c r="J1012" s="147"/>
      <c r="K1012" s="147"/>
      <c r="L1012" s="147"/>
      <c r="M1012" s="147"/>
      <c r="N1012" s="147"/>
      <c r="O1012" s="158"/>
      <c r="P1012" s="147"/>
      <c r="Q1012" s="147"/>
      <c r="R1012" s="147"/>
      <c r="S1012" s="147"/>
      <c r="T1012" s="147"/>
      <c r="U1012" s="147"/>
      <c r="V1012" s="147"/>
      <c r="W1012" s="147"/>
      <c r="X1012" s="147"/>
      <c r="Y1012" s="147"/>
      <c r="Z1012" s="147"/>
      <c r="AA1012" s="147"/>
      <c r="AB1012" s="147"/>
      <c r="AC1012" s="147"/>
      <c r="AD1012" s="147"/>
      <c r="AE1012" s="147"/>
      <c r="AF1012" s="147"/>
      <c r="AG1012" s="147"/>
      <c r="AH1012" s="147"/>
      <c r="AI1012" s="147"/>
      <c r="AJ1012" s="147"/>
      <c r="AK1012" s="147"/>
      <c r="AL1012" s="147"/>
      <c r="AM1012" s="147"/>
      <c r="AN1012" s="147"/>
      <c r="AO1012" s="147"/>
      <c r="AP1012" s="147"/>
      <c r="AQ1012" s="147"/>
      <c r="AR1012" s="147"/>
      <c r="AS1012" s="147"/>
      <c r="AT1012" s="147"/>
      <c r="AU1012" s="147"/>
      <c r="AV1012" s="147"/>
      <c r="AW1012" s="147"/>
      <c r="AX1012" s="147"/>
      <c r="AY1012" s="147"/>
      <c r="AZ1012" s="147"/>
      <c r="BA1012" s="147"/>
      <c r="BB1012" s="147"/>
      <c r="BC1012" s="147"/>
      <c r="BD1012" s="147"/>
      <c r="BE1012" s="147"/>
      <c r="BF1012" s="147"/>
      <c r="BG1012" s="147"/>
      <c r="BH1012" s="147"/>
      <c r="BI1012" s="147"/>
      <c r="BJ1012" s="147"/>
      <c r="BK1012" s="147"/>
      <c r="BL1012" s="147"/>
      <c r="BM1012" s="147"/>
      <c r="BN1012" s="147"/>
      <c r="BO1012" s="147"/>
      <c r="BP1012" s="147"/>
      <c r="BQ1012" s="147"/>
      <c r="BR1012" s="147"/>
      <c r="BS1012" s="147"/>
      <c r="BT1012" s="147"/>
      <c r="BU1012" s="147"/>
      <c r="BV1012" s="147"/>
      <c r="BW1012" s="147"/>
      <c r="BX1012" s="147"/>
      <c r="BY1012" s="147"/>
      <c r="BZ1012" s="147"/>
      <c r="CA1012" s="147"/>
      <c r="CB1012" s="147"/>
      <c r="CC1012" s="147"/>
      <c r="CD1012" s="147"/>
      <c r="CE1012" s="147"/>
      <c r="CF1012" s="147"/>
      <c r="CG1012" s="147"/>
      <c r="CH1012" s="147"/>
      <c r="CI1012" s="147"/>
      <c r="CJ1012" s="147"/>
      <c r="CK1012" s="147"/>
    </row>
    <row r="1013" spans="1:89">
      <c r="A1013" s="147"/>
      <c r="B1013" s="147"/>
      <c r="C1013" s="147"/>
      <c r="D1013" s="147"/>
      <c r="E1013" s="147"/>
      <c r="F1013" s="147"/>
      <c r="G1013" s="147"/>
      <c r="H1013" s="147"/>
      <c r="I1013" s="147"/>
      <c r="J1013" s="147"/>
      <c r="K1013" s="147"/>
      <c r="L1013" s="147"/>
      <c r="M1013" s="147"/>
      <c r="N1013" s="147"/>
      <c r="O1013" s="158"/>
      <c r="P1013" s="147"/>
      <c r="Q1013" s="147"/>
      <c r="R1013" s="147"/>
      <c r="S1013" s="147"/>
      <c r="T1013" s="147"/>
      <c r="U1013" s="147"/>
      <c r="V1013" s="147"/>
      <c r="W1013" s="147"/>
      <c r="X1013" s="147"/>
      <c r="Y1013" s="147"/>
      <c r="Z1013" s="147"/>
      <c r="AA1013" s="147"/>
      <c r="AB1013" s="147"/>
      <c r="AC1013" s="147"/>
      <c r="AD1013" s="147"/>
      <c r="AE1013" s="147"/>
      <c r="AF1013" s="147"/>
      <c r="AG1013" s="147"/>
      <c r="AH1013" s="147"/>
      <c r="AI1013" s="147"/>
      <c r="AJ1013" s="147"/>
      <c r="AK1013" s="147"/>
      <c r="AL1013" s="147"/>
      <c r="AM1013" s="147"/>
      <c r="AN1013" s="147"/>
      <c r="AO1013" s="147"/>
      <c r="AP1013" s="147"/>
      <c r="AQ1013" s="147"/>
      <c r="AR1013" s="147"/>
      <c r="AS1013" s="147"/>
      <c r="AT1013" s="147"/>
      <c r="AU1013" s="147"/>
      <c r="AV1013" s="147"/>
      <c r="AW1013" s="147"/>
      <c r="AX1013" s="147"/>
      <c r="AY1013" s="147"/>
      <c r="AZ1013" s="147"/>
      <c r="BA1013" s="147"/>
      <c r="BB1013" s="147"/>
      <c r="BC1013" s="147"/>
      <c r="BD1013" s="147"/>
      <c r="BE1013" s="147"/>
      <c r="BF1013" s="147"/>
      <c r="BG1013" s="147"/>
      <c r="BH1013" s="147"/>
      <c r="BI1013" s="147"/>
      <c r="BJ1013" s="147"/>
      <c r="BK1013" s="147"/>
      <c r="BL1013" s="147"/>
      <c r="BM1013" s="147"/>
      <c r="BN1013" s="147"/>
      <c r="BO1013" s="147"/>
      <c r="BP1013" s="147"/>
      <c r="BQ1013" s="147"/>
      <c r="BR1013" s="147"/>
      <c r="BS1013" s="147"/>
      <c r="BT1013" s="147"/>
      <c r="BU1013" s="147"/>
      <c r="BV1013" s="147"/>
      <c r="BW1013" s="147"/>
      <c r="BX1013" s="147"/>
      <c r="BY1013" s="147"/>
      <c r="BZ1013" s="147"/>
      <c r="CA1013" s="147"/>
      <c r="CB1013" s="147"/>
      <c r="CC1013" s="147"/>
      <c r="CD1013" s="147"/>
      <c r="CE1013" s="147"/>
      <c r="CF1013" s="147"/>
      <c r="CG1013" s="147"/>
      <c r="CH1013" s="147"/>
      <c r="CI1013" s="147"/>
      <c r="CJ1013" s="147"/>
      <c r="CK1013" s="147"/>
    </row>
    <row r="1014" spans="1:89">
      <c r="A1014" s="147"/>
      <c r="B1014" s="147"/>
      <c r="C1014" s="147"/>
      <c r="D1014" s="147"/>
      <c r="E1014" s="147"/>
      <c r="F1014" s="147"/>
      <c r="G1014" s="147"/>
      <c r="H1014" s="147"/>
      <c r="I1014" s="147"/>
      <c r="J1014" s="147"/>
      <c r="K1014" s="147"/>
      <c r="L1014" s="147"/>
      <c r="M1014" s="147"/>
      <c r="N1014" s="147"/>
      <c r="O1014" s="158"/>
      <c r="P1014" s="147"/>
      <c r="Q1014" s="147"/>
      <c r="R1014" s="147"/>
      <c r="S1014" s="147"/>
      <c r="T1014" s="147"/>
      <c r="U1014" s="147"/>
      <c r="V1014" s="147"/>
      <c r="W1014" s="147"/>
      <c r="X1014" s="147"/>
      <c r="Y1014" s="147"/>
      <c r="Z1014" s="147"/>
      <c r="AA1014" s="147"/>
      <c r="AB1014" s="147"/>
      <c r="AC1014" s="147"/>
      <c r="AD1014" s="147"/>
      <c r="AE1014" s="147"/>
      <c r="AF1014" s="147"/>
      <c r="AG1014" s="147"/>
      <c r="AH1014" s="147"/>
      <c r="AI1014" s="147"/>
      <c r="AJ1014" s="147"/>
      <c r="AK1014" s="147"/>
      <c r="AL1014" s="147"/>
      <c r="AM1014" s="147"/>
      <c r="AN1014" s="147"/>
      <c r="AO1014" s="147"/>
      <c r="AP1014" s="147"/>
      <c r="AQ1014" s="147"/>
      <c r="AR1014" s="147"/>
      <c r="AS1014" s="147"/>
      <c r="AT1014" s="147"/>
      <c r="AU1014" s="147"/>
      <c r="AV1014" s="147"/>
      <c r="AW1014" s="147"/>
      <c r="AX1014" s="147"/>
      <c r="AY1014" s="147"/>
      <c r="AZ1014" s="147"/>
      <c r="BA1014" s="147"/>
      <c r="BB1014" s="147"/>
      <c r="BC1014" s="147"/>
      <c r="BD1014" s="147"/>
      <c r="BE1014" s="147"/>
      <c r="BF1014" s="147"/>
      <c r="BG1014" s="147"/>
      <c r="BH1014" s="147"/>
      <c r="BI1014" s="147"/>
      <c r="BJ1014" s="147"/>
      <c r="BK1014" s="147"/>
      <c r="BL1014" s="147"/>
      <c r="BM1014" s="147"/>
      <c r="BN1014" s="147"/>
      <c r="BO1014" s="147"/>
      <c r="BP1014" s="147"/>
      <c r="BQ1014" s="147"/>
      <c r="BR1014" s="147"/>
      <c r="BS1014" s="147"/>
      <c r="BT1014" s="147"/>
      <c r="BU1014" s="147"/>
      <c r="BV1014" s="147"/>
      <c r="BW1014" s="147"/>
      <c r="BX1014" s="147"/>
      <c r="BY1014" s="147"/>
      <c r="BZ1014" s="147"/>
      <c r="CA1014" s="147"/>
      <c r="CB1014" s="147"/>
      <c r="CC1014" s="147"/>
      <c r="CD1014" s="147"/>
      <c r="CE1014" s="147"/>
      <c r="CF1014" s="147"/>
      <c r="CG1014" s="147"/>
      <c r="CH1014" s="147"/>
      <c r="CI1014" s="147"/>
      <c r="CJ1014" s="147"/>
      <c r="CK1014" s="147"/>
    </row>
    <row r="1015" spans="1:89">
      <c r="A1015" s="147"/>
      <c r="B1015" s="147"/>
      <c r="C1015" s="147"/>
      <c r="D1015" s="147"/>
      <c r="E1015" s="147"/>
      <c r="F1015" s="147"/>
      <c r="G1015" s="147"/>
      <c r="H1015" s="147"/>
      <c r="I1015" s="147"/>
      <c r="J1015" s="147"/>
      <c r="K1015" s="147"/>
      <c r="L1015" s="147"/>
      <c r="M1015" s="147"/>
      <c r="N1015" s="147"/>
      <c r="O1015" s="158"/>
      <c r="P1015" s="147"/>
      <c r="Q1015" s="147"/>
      <c r="R1015" s="147"/>
      <c r="S1015" s="147"/>
      <c r="T1015" s="147"/>
      <c r="U1015" s="147"/>
      <c r="V1015" s="147"/>
      <c r="W1015" s="147"/>
      <c r="X1015" s="147"/>
      <c r="Y1015" s="147"/>
      <c r="Z1015" s="147"/>
      <c r="AA1015" s="147"/>
      <c r="AB1015" s="147"/>
      <c r="AC1015" s="147"/>
      <c r="AD1015" s="147"/>
      <c r="AE1015" s="147"/>
      <c r="AF1015" s="147"/>
      <c r="AG1015" s="147"/>
      <c r="AH1015" s="147"/>
      <c r="AI1015" s="147"/>
      <c r="AJ1015" s="147"/>
      <c r="AK1015" s="147"/>
      <c r="AL1015" s="147"/>
      <c r="AM1015" s="147"/>
      <c r="AN1015" s="147"/>
      <c r="AO1015" s="147"/>
      <c r="AP1015" s="147"/>
      <c r="AQ1015" s="147"/>
      <c r="AR1015" s="147"/>
      <c r="AS1015" s="147"/>
      <c r="AT1015" s="147"/>
      <c r="AU1015" s="147"/>
      <c r="AV1015" s="147"/>
      <c r="AW1015" s="147"/>
      <c r="AX1015" s="147"/>
      <c r="AY1015" s="147"/>
      <c r="AZ1015" s="147"/>
      <c r="BA1015" s="147"/>
      <c r="BB1015" s="147"/>
      <c r="BC1015" s="147"/>
      <c r="BD1015" s="147"/>
      <c r="BE1015" s="147"/>
      <c r="BF1015" s="147"/>
      <c r="BG1015" s="147"/>
      <c r="BH1015" s="147"/>
      <c r="BI1015" s="147"/>
      <c r="BJ1015" s="147"/>
      <c r="BK1015" s="147"/>
      <c r="BL1015" s="147"/>
      <c r="BM1015" s="147"/>
      <c r="BN1015" s="147"/>
      <c r="BO1015" s="147"/>
      <c r="BP1015" s="147"/>
      <c r="BQ1015" s="147"/>
      <c r="BR1015" s="147"/>
      <c r="BS1015" s="147"/>
      <c r="BT1015" s="147"/>
      <c r="BU1015" s="147"/>
      <c r="BV1015" s="147"/>
      <c r="BW1015" s="147"/>
      <c r="BX1015" s="147"/>
      <c r="BY1015" s="147"/>
      <c r="BZ1015" s="147"/>
      <c r="CA1015" s="147"/>
      <c r="CB1015" s="147"/>
      <c r="CC1015" s="147"/>
      <c r="CD1015" s="147"/>
      <c r="CE1015" s="147"/>
      <c r="CF1015" s="147"/>
      <c r="CG1015" s="147"/>
      <c r="CH1015" s="147"/>
      <c r="CI1015" s="147"/>
      <c r="CJ1015" s="147"/>
      <c r="CK1015" s="147"/>
    </row>
    <row r="1016" spans="1:89">
      <c r="A1016" s="147"/>
      <c r="B1016" s="147"/>
      <c r="C1016" s="147"/>
      <c r="D1016" s="147"/>
      <c r="E1016" s="147"/>
      <c r="F1016" s="147"/>
      <c r="G1016" s="147"/>
      <c r="H1016" s="147"/>
      <c r="I1016" s="147"/>
      <c r="J1016" s="147"/>
      <c r="K1016" s="147"/>
      <c r="L1016" s="147"/>
      <c r="M1016" s="147"/>
      <c r="N1016" s="147"/>
      <c r="O1016" s="158"/>
      <c r="P1016" s="147"/>
      <c r="Q1016" s="147"/>
      <c r="R1016" s="147"/>
      <c r="S1016" s="147"/>
      <c r="T1016" s="147"/>
      <c r="U1016" s="147"/>
      <c r="V1016" s="147"/>
      <c r="W1016" s="147"/>
      <c r="X1016" s="147"/>
      <c r="Y1016" s="147"/>
      <c r="Z1016" s="147"/>
      <c r="AA1016" s="147"/>
      <c r="AB1016" s="147"/>
      <c r="AC1016" s="147"/>
      <c r="AD1016" s="147"/>
      <c r="AE1016" s="147"/>
      <c r="AF1016" s="147"/>
      <c r="AG1016" s="147"/>
      <c r="AH1016" s="147"/>
      <c r="AI1016" s="147"/>
      <c r="AJ1016" s="147"/>
      <c r="AK1016" s="147"/>
      <c r="AL1016" s="147"/>
      <c r="AM1016" s="147"/>
      <c r="AN1016" s="147"/>
      <c r="AO1016" s="147"/>
      <c r="AP1016" s="147"/>
      <c r="AQ1016" s="147"/>
      <c r="AR1016" s="147"/>
      <c r="AS1016" s="147"/>
      <c r="AT1016" s="147"/>
      <c r="AU1016" s="147"/>
      <c r="AV1016" s="147"/>
      <c r="AW1016" s="147"/>
      <c r="AX1016" s="147"/>
      <c r="AY1016" s="147"/>
      <c r="AZ1016" s="147"/>
      <c r="BA1016" s="147"/>
      <c r="BB1016" s="147"/>
      <c r="BC1016" s="147"/>
      <c r="BD1016" s="147"/>
      <c r="BE1016" s="147"/>
      <c r="BF1016" s="147"/>
      <c r="BG1016" s="147"/>
      <c r="BH1016" s="147"/>
      <c r="BI1016" s="147"/>
      <c r="BJ1016" s="147"/>
      <c r="BK1016" s="147"/>
      <c r="BL1016" s="147"/>
      <c r="BM1016" s="147"/>
      <c r="BN1016" s="147"/>
      <c r="BO1016" s="147"/>
      <c r="BP1016" s="147"/>
      <c r="BQ1016" s="147"/>
      <c r="BR1016" s="147"/>
      <c r="BS1016" s="147"/>
      <c r="BT1016" s="147"/>
      <c r="BU1016" s="147"/>
      <c r="BV1016" s="147"/>
      <c r="BW1016" s="147"/>
      <c r="BX1016" s="147"/>
      <c r="BY1016" s="147"/>
      <c r="BZ1016" s="147"/>
      <c r="CA1016" s="147"/>
      <c r="CB1016" s="147"/>
      <c r="CC1016" s="147"/>
      <c r="CD1016" s="147"/>
      <c r="CE1016" s="147"/>
      <c r="CF1016" s="147"/>
      <c r="CG1016" s="147"/>
      <c r="CH1016" s="147"/>
      <c r="CI1016" s="147"/>
      <c r="CJ1016" s="147"/>
      <c r="CK1016" s="147"/>
    </row>
    <row r="1017" spans="1:89">
      <c r="A1017" s="147"/>
      <c r="B1017" s="147"/>
      <c r="C1017" s="147"/>
      <c r="D1017" s="147"/>
      <c r="E1017" s="147"/>
      <c r="F1017" s="147"/>
      <c r="G1017" s="147"/>
      <c r="H1017" s="147"/>
      <c r="I1017" s="147"/>
      <c r="J1017" s="147"/>
      <c r="K1017" s="147"/>
      <c r="L1017" s="147"/>
      <c r="M1017" s="147"/>
      <c r="N1017" s="147"/>
      <c r="O1017" s="158"/>
      <c r="P1017" s="147"/>
      <c r="Q1017" s="147"/>
      <c r="R1017" s="147"/>
      <c r="S1017" s="147"/>
      <c r="T1017" s="147"/>
      <c r="U1017" s="147"/>
      <c r="V1017" s="147"/>
      <c r="W1017" s="147"/>
      <c r="X1017" s="147"/>
      <c r="Y1017" s="147"/>
      <c r="Z1017" s="147"/>
      <c r="AA1017" s="147"/>
      <c r="AB1017" s="147"/>
      <c r="AC1017" s="147"/>
      <c r="AD1017" s="147"/>
      <c r="AE1017" s="147"/>
      <c r="AF1017" s="147"/>
      <c r="AG1017" s="147"/>
      <c r="AH1017" s="147"/>
      <c r="AI1017" s="147"/>
      <c r="AJ1017" s="147"/>
      <c r="AK1017" s="147"/>
      <c r="AL1017" s="147"/>
      <c r="AM1017" s="147"/>
      <c r="AN1017" s="147"/>
      <c r="AO1017" s="147"/>
      <c r="AP1017" s="147"/>
      <c r="AQ1017" s="147"/>
      <c r="AR1017" s="147"/>
      <c r="AS1017" s="147"/>
      <c r="AT1017" s="147"/>
      <c r="AU1017" s="147"/>
      <c r="AV1017" s="147"/>
      <c r="AW1017" s="147"/>
      <c r="AX1017" s="147"/>
      <c r="AY1017" s="147"/>
      <c r="AZ1017" s="147"/>
      <c r="BA1017" s="147"/>
      <c r="BB1017" s="147"/>
      <c r="BC1017" s="147"/>
      <c r="BD1017" s="147"/>
      <c r="BE1017" s="147"/>
      <c r="BF1017" s="147"/>
      <c r="BG1017" s="147"/>
      <c r="BH1017" s="147"/>
      <c r="BI1017" s="147"/>
      <c r="BJ1017" s="147"/>
      <c r="BK1017" s="147"/>
      <c r="BL1017" s="147"/>
      <c r="BM1017" s="147"/>
      <c r="BN1017" s="147"/>
      <c r="BO1017" s="147"/>
      <c r="BP1017" s="147"/>
      <c r="BQ1017" s="147"/>
      <c r="BR1017" s="147"/>
      <c r="BS1017" s="147"/>
      <c r="BT1017" s="147"/>
      <c r="BU1017" s="147"/>
      <c r="BV1017" s="147"/>
      <c r="BW1017" s="147"/>
      <c r="BX1017" s="147"/>
      <c r="BY1017" s="147"/>
      <c r="BZ1017" s="147"/>
      <c r="CA1017" s="147"/>
      <c r="CB1017" s="147"/>
      <c r="CC1017" s="147"/>
      <c r="CD1017" s="147"/>
      <c r="CE1017" s="147"/>
      <c r="CF1017" s="147"/>
      <c r="CG1017" s="147"/>
      <c r="CH1017" s="147"/>
      <c r="CI1017" s="147"/>
      <c r="CJ1017" s="147"/>
      <c r="CK1017" s="147"/>
    </row>
    <row r="1018" spans="1:89">
      <c r="A1018" s="147"/>
      <c r="B1018" s="147"/>
      <c r="C1018" s="147"/>
      <c r="D1018" s="147"/>
      <c r="E1018" s="147"/>
      <c r="F1018" s="147"/>
      <c r="G1018" s="147"/>
      <c r="H1018" s="147"/>
      <c r="I1018" s="147"/>
      <c r="J1018" s="147"/>
      <c r="K1018" s="147"/>
      <c r="L1018" s="147"/>
      <c r="M1018" s="147"/>
      <c r="N1018" s="147"/>
      <c r="O1018" s="158"/>
      <c r="P1018" s="147"/>
      <c r="Q1018" s="147"/>
      <c r="R1018" s="147"/>
      <c r="S1018" s="147"/>
      <c r="T1018" s="147"/>
      <c r="U1018" s="147"/>
      <c r="V1018" s="147"/>
      <c r="W1018" s="147"/>
      <c r="X1018" s="147"/>
      <c r="Y1018" s="147"/>
      <c r="Z1018" s="147"/>
      <c r="AA1018" s="147"/>
      <c r="AB1018" s="147"/>
      <c r="AC1018" s="147"/>
      <c r="AD1018" s="147"/>
      <c r="AE1018" s="147"/>
      <c r="AF1018" s="147"/>
      <c r="AG1018" s="147"/>
      <c r="AH1018" s="147"/>
      <c r="AI1018" s="147"/>
      <c r="AJ1018" s="147"/>
      <c r="AK1018" s="147"/>
      <c r="AL1018" s="147"/>
      <c r="AM1018" s="147"/>
      <c r="AN1018" s="147"/>
      <c r="AO1018" s="147"/>
      <c r="AP1018" s="147"/>
      <c r="AQ1018" s="147"/>
      <c r="AR1018" s="147"/>
      <c r="AS1018" s="147"/>
      <c r="AT1018" s="147"/>
      <c r="AU1018" s="147"/>
      <c r="AV1018" s="147"/>
      <c r="AW1018" s="147"/>
      <c r="AX1018" s="147"/>
      <c r="AY1018" s="147"/>
      <c r="AZ1018" s="147"/>
      <c r="BA1018" s="147"/>
      <c r="BB1018" s="147"/>
      <c r="BC1018" s="147"/>
      <c r="BD1018" s="147"/>
      <c r="BE1018" s="147"/>
      <c r="BF1018" s="147"/>
      <c r="BG1018" s="147"/>
      <c r="BH1018" s="147"/>
      <c r="BI1018" s="147"/>
      <c r="BJ1018" s="147"/>
      <c r="BK1018" s="147"/>
      <c r="BL1018" s="147"/>
      <c r="BM1018" s="147"/>
      <c r="BN1018" s="147"/>
      <c r="BO1018" s="147"/>
      <c r="BP1018" s="147"/>
      <c r="BQ1018" s="147"/>
      <c r="BR1018" s="147"/>
      <c r="BS1018" s="147"/>
      <c r="BT1018" s="147"/>
      <c r="BU1018" s="147"/>
      <c r="BV1018" s="147"/>
      <c r="BW1018" s="147"/>
      <c r="BX1018" s="147"/>
      <c r="BY1018" s="147"/>
      <c r="BZ1018" s="147"/>
      <c r="CA1018" s="147"/>
      <c r="CB1018" s="147"/>
      <c r="CC1018" s="147"/>
      <c r="CD1018" s="147"/>
      <c r="CE1018" s="147"/>
      <c r="CF1018" s="147"/>
      <c r="CG1018" s="147"/>
      <c r="CH1018" s="147"/>
      <c r="CI1018" s="147"/>
      <c r="CJ1018" s="147"/>
      <c r="CK1018" s="147"/>
    </row>
    <row r="1019" spans="1:89">
      <c r="A1019" s="147"/>
      <c r="B1019" s="147"/>
      <c r="C1019" s="147"/>
      <c r="D1019" s="147"/>
      <c r="E1019" s="147"/>
      <c r="F1019" s="147"/>
      <c r="G1019" s="147"/>
      <c r="H1019" s="147"/>
      <c r="I1019" s="147"/>
      <c r="J1019" s="147"/>
      <c r="K1019" s="147"/>
      <c r="L1019" s="147"/>
      <c r="M1019" s="147"/>
      <c r="N1019" s="147"/>
      <c r="O1019" s="158"/>
      <c r="P1019" s="147"/>
      <c r="Q1019" s="147"/>
      <c r="R1019" s="147"/>
      <c r="S1019" s="147"/>
      <c r="T1019" s="147"/>
      <c r="U1019" s="147"/>
      <c r="V1019" s="147"/>
      <c r="W1019" s="147"/>
      <c r="X1019" s="147"/>
      <c r="Y1019" s="147"/>
      <c r="Z1019" s="147"/>
      <c r="AA1019" s="147"/>
      <c r="AB1019" s="147"/>
      <c r="AC1019" s="147"/>
      <c r="AD1019" s="147"/>
      <c r="AE1019" s="147"/>
      <c r="AF1019" s="147"/>
      <c r="AG1019" s="147"/>
      <c r="AH1019" s="147"/>
      <c r="AI1019" s="147"/>
      <c r="AJ1019" s="147"/>
      <c r="AK1019" s="147"/>
      <c r="AL1019" s="147"/>
      <c r="AM1019" s="147"/>
      <c r="AN1019" s="147"/>
      <c r="AO1019" s="147"/>
      <c r="AP1019" s="147"/>
      <c r="AQ1019" s="147"/>
      <c r="AR1019" s="147"/>
      <c r="AS1019" s="147"/>
      <c r="AT1019" s="147"/>
      <c r="AU1019" s="147"/>
      <c r="AV1019" s="147"/>
      <c r="AW1019" s="147"/>
      <c r="AX1019" s="147"/>
      <c r="AY1019" s="147"/>
      <c r="AZ1019" s="147"/>
      <c r="BA1019" s="147"/>
      <c r="BB1019" s="147"/>
      <c r="BC1019" s="147"/>
      <c r="BD1019" s="147"/>
      <c r="BE1019" s="147"/>
      <c r="BF1019" s="147"/>
      <c r="BG1019" s="147"/>
      <c r="BH1019" s="147"/>
      <c r="BI1019" s="147"/>
      <c r="BJ1019" s="147"/>
      <c r="BK1019" s="147"/>
      <c r="BL1019" s="147"/>
      <c r="BM1019" s="147"/>
      <c r="BN1019" s="147"/>
      <c r="BO1019" s="147"/>
      <c r="BP1019" s="147"/>
      <c r="BQ1019" s="147"/>
      <c r="BR1019" s="147"/>
      <c r="BS1019" s="147"/>
      <c r="BT1019" s="147"/>
      <c r="BU1019" s="147"/>
      <c r="BV1019" s="147"/>
      <c r="BW1019" s="147"/>
      <c r="BX1019" s="147"/>
      <c r="BY1019" s="147"/>
      <c r="BZ1019" s="147"/>
      <c r="CA1019" s="147"/>
      <c r="CB1019" s="147"/>
      <c r="CC1019" s="147"/>
      <c r="CD1019" s="147"/>
      <c r="CE1019" s="147"/>
      <c r="CF1019" s="147"/>
      <c r="CG1019" s="147"/>
      <c r="CH1019" s="147"/>
      <c r="CI1019" s="147"/>
      <c r="CJ1019" s="147"/>
      <c r="CK1019" s="147"/>
    </row>
    <row r="1020" spans="1:89">
      <c r="A1020" s="147"/>
      <c r="B1020" s="147"/>
      <c r="C1020" s="147"/>
      <c r="D1020" s="147"/>
      <c r="E1020" s="147"/>
      <c r="F1020" s="147"/>
      <c r="G1020" s="147"/>
      <c r="H1020" s="147"/>
      <c r="I1020" s="147"/>
      <c r="J1020" s="147"/>
      <c r="K1020" s="147"/>
      <c r="L1020" s="147"/>
      <c r="M1020" s="147"/>
      <c r="N1020" s="147"/>
      <c r="O1020" s="158"/>
      <c r="P1020" s="147"/>
      <c r="Q1020" s="147"/>
      <c r="R1020" s="147"/>
      <c r="S1020" s="147"/>
      <c r="T1020" s="147"/>
      <c r="U1020" s="147"/>
      <c r="V1020" s="147"/>
      <c r="W1020" s="147"/>
      <c r="X1020" s="147"/>
      <c r="Y1020" s="147"/>
      <c r="Z1020" s="147"/>
      <c r="AA1020" s="147"/>
      <c r="AB1020" s="147"/>
      <c r="AC1020" s="147"/>
      <c r="AD1020" s="147"/>
      <c r="AE1020" s="147"/>
      <c r="AF1020" s="147"/>
      <c r="AG1020" s="147"/>
      <c r="AH1020" s="147"/>
      <c r="AI1020" s="147"/>
      <c r="AJ1020" s="147"/>
      <c r="AK1020" s="147"/>
      <c r="AL1020" s="147"/>
      <c r="AM1020" s="147"/>
      <c r="AN1020" s="147"/>
      <c r="AO1020" s="147"/>
      <c r="AP1020" s="147"/>
      <c r="AQ1020" s="147"/>
      <c r="AR1020" s="147"/>
      <c r="AS1020" s="147"/>
      <c r="AT1020" s="147"/>
      <c r="AU1020" s="147"/>
      <c r="AV1020" s="147"/>
      <c r="AW1020" s="147"/>
      <c r="AX1020" s="147"/>
      <c r="AY1020" s="147"/>
      <c r="AZ1020" s="147"/>
      <c r="BA1020" s="147"/>
      <c r="BB1020" s="147"/>
      <c r="BC1020" s="147"/>
      <c r="BD1020" s="147"/>
      <c r="BE1020" s="147"/>
      <c r="BF1020" s="147"/>
      <c r="BG1020" s="147"/>
      <c r="BH1020" s="147"/>
      <c r="BI1020" s="147"/>
      <c r="BJ1020" s="147"/>
      <c r="BK1020" s="147"/>
      <c r="BL1020" s="147"/>
      <c r="BM1020" s="147"/>
      <c r="BN1020" s="147"/>
      <c r="BO1020" s="147"/>
      <c r="BP1020" s="147"/>
      <c r="BQ1020" s="147"/>
      <c r="BR1020" s="147"/>
      <c r="BS1020" s="147"/>
      <c r="BT1020" s="147"/>
      <c r="BU1020" s="147"/>
      <c r="BV1020" s="147"/>
      <c r="BW1020" s="147"/>
      <c r="BX1020" s="147"/>
      <c r="BY1020" s="147"/>
      <c r="BZ1020" s="147"/>
      <c r="CA1020" s="147"/>
      <c r="CB1020" s="147"/>
      <c r="CC1020" s="147"/>
      <c r="CD1020" s="147"/>
      <c r="CE1020" s="147"/>
      <c r="CF1020" s="147"/>
      <c r="CG1020" s="147"/>
      <c r="CH1020" s="147"/>
      <c r="CI1020" s="147"/>
      <c r="CJ1020" s="147"/>
      <c r="CK1020" s="147"/>
    </row>
    <row r="1021" spans="1:89">
      <c r="A1021" s="147"/>
      <c r="B1021" s="147"/>
      <c r="C1021" s="147"/>
      <c r="D1021" s="147"/>
      <c r="E1021" s="147"/>
      <c r="F1021" s="147"/>
      <c r="G1021" s="147"/>
      <c r="H1021" s="147"/>
      <c r="I1021" s="147"/>
      <c r="J1021" s="147"/>
      <c r="K1021" s="147"/>
      <c r="L1021" s="147"/>
      <c r="M1021" s="147"/>
      <c r="N1021" s="147"/>
      <c r="O1021" s="158"/>
      <c r="P1021" s="147"/>
      <c r="Q1021" s="147"/>
      <c r="R1021" s="147"/>
      <c r="S1021" s="147"/>
      <c r="T1021" s="147"/>
      <c r="U1021" s="147"/>
      <c r="V1021" s="147"/>
      <c r="W1021" s="147"/>
      <c r="X1021" s="147"/>
      <c r="Y1021" s="147"/>
      <c r="Z1021" s="147"/>
      <c r="AA1021" s="147"/>
      <c r="AB1021" s="147"/>
      <c r="AC1021" s="147"/>
      <c r="AD1021" s="147"/>
      <c r="AE1021" s="147"/>
      <c r="AF1021" s="147"/>
      <c r="AG1021" s="147"/>
      <c r="AH1021" s="147"/>
      <c r="AI1021" s="147"/>
      <c r="AJ1021" s="147"/>
      <c r="AK1021" s="147"/>
      <c r="AL1021" s="147"/>
      <c r="AM1021" s="147"/>
      <c r="AN1021" s="147"/>
      <c r="AO1021" s="147"/>
      <c r="AP1021" s="147"/>
      <c r="AQ1021" s="147"/>
      <c r="AR1021" s="147"/>
      <c r="AS1021" s="147"/>
      <c r="AT1021" s="147"/>
      <c r="AU1021" s="147"/>
      <c r="AV1021" s="147"/>
      <c r="AW1021" s="147"/>
      <c r="AX1021" s="147"/>
      <c r="AY1021" s="147"/>
      <c r="AZ1021" s="147"/>
      <c r="BA1021" s="147"/>
      <c r="BB1021" s="147"/>
      <c r="BC1021" s="147"/>
      <c r="BD1021" s="147"/>
      <c r="BE1021" s="147"/>
      <c r="BF1021" s="147"/>
      <c r="BG1021" s="147"/>
      <c r="BH1021" s="147"/>
      <c r="BI1021" s="147"/>
      <c r="BJ1021" s="147"/>
      <c r="BK1021" s="147"/>
      <c r="BL1021" s="147"/>
      <c r="BM1021" s="147"/>
      <c r="BN1021" s="147"/>
      <c r="BO1021" s="147"/>
      <c r="BP1021" s="147"/>
      <c r="BQ1021" s="147"/>
      <c r="BR1021" s="147"/>
      <c r="BS1021" s="147"/>
      <c r="BT1021" s="147"/>
      <c r="BU1021" s="147"/>
      <c r="BV1021" s="147"/>
      <c r="BW1021" s="147"/>
      <c r="BX1021" s="147"/>
      <c r="BY1021" s="147"/>
      <c r="BZ1021" s="147"/>
      <c r="CA1021" s="147"/>
      <c r="CB1021" s="147"/>
      <c r="CC1021" s="147"/>
      <c r="CD1021" s="147"/>
      <c r="CE1021" s="147"/>
      <c r="CF1021" s="147"/>
      <c r="CG1021" s="147"/>
      <c r="CH1021" s="147"/>
      <c r="CI1021" s="147"/>
      <c r="CJ1021" s="147"/>
      <c r="CK1021" s="147"/>
    </row>
    <row r="1022" spans="1:89">
      <c r="A1022" s="147"/>
      <c r="B1022" s="147"/>
      <c r="C1022" s="147"/>
      <c r="D1022" s="147"/>
      <c r="E1022" s="147"/>
      <c r="F1022" s="147"/>
      <c r="G1022" s="147"/>
      <c r="H1022" s="147"/>
      <c r="I1022" s="147"/>
      <c r="J1022" s="147"/>
      <c r="K1022" s="147"/>
      <c r="L1022" s="147"/>
      <c r="M1022" s="147"/>
      <c r="N1022" s="147"/>
      <c r="O1022" s="158"/>
      <c r="P1022" s="147"/>
      <c r="Q1022" s="147"/>
      <c r="R1022" s="147"/>
      <c r="S1022" s="147"/>
      <c r="T1022" s="147"/>
      <c r="U1022" s="147"/>
      <c r="V1022" s="147"/>
      <c r="W1022" s="147"/>
      <c r="X1022" s="147"/>
      <c r="Y1022" s="147"/>
      <c r="Z1022" s="147"/>
      <c r="AA1022" s="147"/>
      <c r="AB1022" s="147"/>
      <c r="AC1022" s="147"/>
      <c r="AD1022" s="147"/>
      <c r="AE1022" s="147"/>
      <c r="AF1022" s="147"/>
      <c r="AG1022" s="147"/>
      <c r="AH1022" s="147"/>
      <c r="AI1022" s="147"/>
      <c r="AJ1022" s="147"/>
      <c r="AK1022" s="147"/>
      <c r="AL1022" s="147"/>
      <c r="AM1022" s="147"/>
      <c r="AN1022" s="147"/>
      <c r="AO1022" s="147"/>
      <c r="AP1022" s="147"/>
      <c r="AQ1022" s="147"/>
      <c r="AR1022" s="147"/>
      <c r="AS1022" s="147"/>
      <c r="AT1022" s="147"/>
      <c r="AU1022" s="147"/>
      <c r="AV1022" s="147"/>
      <c r="AW1022" s="147"/>
      <c r="AX1022" s="147"/>
      <c r="AY1022" s="147"/>
      <c r="AZ1022" s="147"/>
      <c r="BA1022" s="147"/>
      <c r="BB1022" s="147"/>
      <c r="BC1022" s="147"/>
      <c r="BD1022" s="147"/>
      <c r="BE1022" s="147"/>
      <c r="BF1022" s="147"/>
      <c r="BG1022" s="147"/>
      <c r="BH1022" s="147"/>
      <c r="BI1022" s="147"/>
      <c r="BJ1022" s="147"/>
      <c r="BK1022" s="147"/>
      <c r="BL1022" s="147"/>
      <c r="BM1022" s="147"/>
      <c r="BN1022" s="147"/>
      <c r="BO1022" s="147"/>
      <c r="BP1022" s="147"/>
      <c r="BQ1022" s="147"/>
      <c r="BR1022" s="147"/>
      <c r="BS1022" s="147"/>
      <c r="BT1022" s="147"/>
      <c r="BU1022" s="147"/>
      <c r="BV1022" s="147"/>
      <c r="BW1022" s="147"/>
      <c r="BX1022" s="147"/>
      <c r="BY1022" s="147"/>
      <c r="BZ1022" s="147"/>
      <c r="CA1022" s="147"/>
      <c r="CB1022" s="147"/>
      <c r="CC1022" s="147"/>
      <c r="CD1022" s="147"/>
      <c r="CE1022" s="147"/>
      <c r="CF1022" s="147"/>
      <c r="CG1022" s="147"/>
      <c r="CH1022" s="147"/>
      <c r="CI1022" s="147"/>
      <c r="CJ1022" s="147"/>
      <c r="CK1022" s="147"/>
    </row>
    <row r="1023" spans="1:89">
      <c r="A1023" s="147"/>
      <c r="B1023" s="147"/>
      <c r="C1023" s="147"/>
      <c r="D1023" s="147"/>
      <c r="E1023" s="147"/>
      <c r="F1023" s="147"/>
      <c r="G1023" s="147"/>
      <c r="H1023" s="147"/>
      <c r="I1023" s="147"/>
      <c r="J1023" s="147"/>
      <c r="K1023" s="147"/>
      <c r="L1023" s="147"/>
      <c r="M1023" s="147"/>
      <c r="N1023" s="147"/>
      <c r="O1023" s="158"/>
      <c r="P1023" s="147"/>
      <c r="Q1023" s="147"/>
      <c r="R1023" s="147"/>
      <c r="S1023" s="147"/>
      <c r="T1023" s="147"/>
      <c r="U1023" s="147"/>
      <c r="V1023" s="147"/>
      <c r="W1023" s="147"/>
      <c r="X1023" s="147"/>
      <c r="Y1023" s="147"/>
      <c r="Z1023" s="147"/>
      <c r="AA1023" s="147"/>
      <c r="AB1023" s="147"/>
      <c r="AC1023" s="147"/>
      <c r="AD1023" s="147"/>
      <c r="AE1023" s="147"/>
      <c r="AF1023" s="147"/>
      <c r="AG1023" s="147"/>
      <c r="AH1023" s="147"/>
      <c r="AI1023" s="147"/>
      <c r="AJ1023" s="147"/>
      <c r="AK1023" s="147"/>
      <c r="AL1023" s="147"/>
      <c r="AM1023" s="147"/>
      <c r="AN1023" s="147"/>
      <c r="AO1023" s="147"/>
      <c r="AP1023" s="147"/>
      <c r="AQ1023" s="147"/>
      <c r="AR1023" s="147"/>
      <c r="AS1023" s="147"/>
      <c r="AT1023" s="147"/>
      <c r="AU1023" s="147"/>
      <c r="AV1023" s="147"/>
      <c r="AW1023" s="147"/>
      <c r="AX1023" s="147"/>
      <c r="AY1023" s="147"/>
      <c r="AZ1023" s="147"/>
      <c r="BA1023" s="147"/>
      <c r="BB1023" s="147"/>
      <c r="BC1023" s="147"/>
      <c r="BD1023" s="147"/>
      <c r="BE1023" s="147"/>
      <c r="BF1023" s="147"/>
      <c r="BG1023" s="147"/>
      <c r="BH1023" s="147"/>
      <c r="BI1023" s="147"/>
      <c r="BJ1023" s="147"/>
      <c r="BK1023" s="147"/>
      <c r="BL1023" s="147"/>
      <c r="BM1023" s="147"/>
      <c r="BN1023" s="147"/>
      <c r="BO1023" s="147"/>
      <c r="BP1023" s="147"/>
      <c r="BQ1023" s="147"/>
      <c r="BR1023" s="147"/>
      <c r="BS1023" s="147"/>
      <c r="BT1023" s="147"/>
      <c r="BU1023" s="147"/>
      <c r="BV1023" s="147"/>
      <c r="BW1023" s="147"/>
      <c r="BX1023" s="147"/>
      <c r="BY1023" s="147"/>
      <c r="BZ1023" s="147"/>
      <c r="CA1023" s="147"/>
      <c r="CB1023" s="147"/>
      <c r="CC1023" s="147"/>
      <c r="CD1023" s="147"/>
      <c r="CE1023" s="147"/>
      <c r="CF1023" s="147"/>
      <c r="CG1023" s="147"/>
      <c r="CH1023" s="147"/>
      <c r="CI1023" s="147"/>
      <c r="CJ1023" s="147"/>
      <c r="CK1023" s="147"/>
    </row>
    <row r="1024" spans="1:89">
      <c r="A1024" s="147"/>
      <c r="B1024" s="147"/>
      <c r="C1024" s="147"/>
      <c r="D1024" s="147"/>
      <c r="E1024" s="147"/>
      <c r="F1024" s="147"/>
      <c r="G1024" s="147"/>
      <c r="H1024" s="147"/>
      <c r="I1024" s="147"/>
      <c r="J1024" s="147"/>
      <c r="K1024" s="147"/>
      <c r="L1024" s="147"/>
      <c r="M1024" s="147"/>
      <c r="N1024" s="147"/>
      <c r="O1024" s="158"/>
      <c r="P1024" s="147"/>
      <c r="Q1024" s="147"/>
      <c r="R1024" s="147"/>
      <c r="S1024" s="147"/>
      <c r="T1024" s="147"/>
      <c r="U1024" s="147"/>
      <c r="V1024" s="147"/>
      <c r="W1024" s="147"/>
      <c r="X1024" s="147"/>
      <c r="Y1024" s="147"/>
      <c r="Z1024" s="147"/>
      <c r="AA1024" s="147"/>
      <c r="AB1024" s="147"/>
      <c r="AC1024" s="147"/>
      <c r="AD1024" s="147"/>
      <c r="AE1024" s="147"/>
      <c r="AF1024" s="147"/>
      <c r="AG1024" s="147"/>
      <c r="AH1024" s="147"/>
      <c r="AI1024" s="147"/>
      <c r="AJ1024" s="147"/>
      <c r="AK1024" s="147"/>
      <c r="AL1024" s="147"/>
      <c r="AM1024" s="147"/>
      <c r="AN1024" s="147"/>
      <c r="AO1024" s="147"/>
      <c r="AP1024" s="147"/>
      <c r="AQ1024" s="147"/>
      <c r="AR1024" s="147"/>
      <c r="AS1024" s="147"/>
      <c r="AT1024" s="147"/>
      <c r="AU1024" s="147"/>
      <c r="AV1024" s="147"/>
      <c r="AW1024" s="147"/>
      <c r="AX1024" s="147"/>
      <c r="AY1024" s="147"/>
      <c r="AZ1024" s="147"/>
      <c r="BA1024" s="147"/>
      <c r="BB1024" s="147"/>
      <c r="BC1024" s="147"/>
      <c r="BD1024" s="147"/>
      <c r="BE1024" s="147"/>
      <c r="BF1024" s="147"/>
      <c r="BG1024" s="147"/>
      <c r="BH1024" s="147"/>
      <c r="BI1024" s="147"/>
      <c r="BJ1024" s="147"/>
      <c r="BK1024" s="147"/>
      <c r="BL1024" s="147"/>
      <c r="BM1024" s="147"/>
      <c r="BN1024" s="147"/>
      <c r="BO1024" s="147"/>
      <c r="BP1024" s="147"/>
      <c r="BQ1024" s="147"/>
      <c r="BR1024" s="147"/>
      <c r="BS1024" s="147"/>
      <c r="BT1024" s="147"/>
      <c r="BU1024" s="147"/>
      <c r="BV1024" s="147"/>
      <c r="BW1024" s="147"/>
      <c r="BX1024" s="147"/>
      <c r="BY1024" s="147"/>
      <c r="BZ1024" s="147"/>
      <c r="CA1024" s="147"/>
      <c r="CB1024" s="147"/>
      <c r="CC1024" s="147"/>
      <c r="CD1024" s="147"/>
      <c r="CE1024" s="147"/>
      <c r="CF1024" s="147"/>
      <c r="CG1024" s="147"/>
      <c r="CH1024" s="147"/>
      <c r="CI1024" s="147"/>
      <c r="CJ1024" s="147"/>
      <c r="CK1024" s="147"/>
    </row>
    <row r="1025" spans="1:89">
      <c r="A1025" s="147"/>
      <c r="B1025" s="147"/>
      <c r="C1025" s="147"/>
      <c r="D1025" s="147"/>
      <c r="E1025" s="147"/>
      <c r="F1025" s="147"/>
      <c r="G1025" s="147"/>
      <c r="H1025" s="147"/>
      <c r="I1025" s="147"/>
      <c r="J1025" s="147"/>
      <c r="K1025" s="147"/>
      <c r="L1025" s="147"/>
      <c r="M1025" s="147"/>
      <c r="N1025" s="147"/>
      <c r="O1025" s="158"/>
      <c r="P1025" s="147"/>
      <c r="Q1025" s="147"/>
      <c r="R1025" s="147"/>
      <c r="S1025" s="147"/>
      <c r="T1025" s="147"/>
      <c r="U1025" s="147"/>
      <c r="V1025" s="147"/>
      <c r="W1025" s="147"/>
      <c r="X1025" s="147"/>
      <c r="Y1025" s="147"/>
      <c r="Z1025" s="147"/>
      <c r="AA1025" s="147"/>
      <c r="AB1025" s="147"/>
      <c r="AC1025" s="147"/>
      <c r="AD1025" s="147"/>
      <c r="AE1025" s="147"/>
      <c r="AF1025" s="147"/>
      <c r="AG1025" s="147"/>
      <c r="AH1025" s="147"/>
      <c r="AI1025" s="147"/>
      <c r="AJ1025" s="147"/>
      <c r="AK1025" s="147"/>
      <c r="AL1025" s="147"/>
      <c r="AM1025" s="147"/>
      <c r="AN1025" s="147"/>
      <c r="AO1025" s="147"/>
      <c r="AP1025" s="147"/>
      <c r="AQ1025" s="147"/>
      <c r="AR1025" s="147"/>
      <c r="AS1025" s="147"/>
      <c r="AT1025" s="147"/>
      <c r="AU1025" s="147"/>
      <c r="AV1025" s="147"/>
      <c r="AW1025" s="147"/>
      <c r="AX1025" s="147"/>
      <c r="AY1025" s="147"/>
      <c r="AZ1025" s="147"/>
      <c r="BA1025" s="147"/>
      <c r="BB1025" s="147"/>
      <c r="BC1025" s="147"/>
      <c r="BD1025" s="147"/>
      <c r="BE1025" s="147"/>
      <c r="BF1025" s="147"/>
      <c r="BG1025" s="147"/>
      <c r="BH1025" s="147"/>
      <c r="BI1025" s="147"/>
      <c r="BJ1025" s="147"/>
      <c r="BK1025" s="147"/>
      <c r="BL1025" s="147"/>
      <c r="BM1025" s="147"/>
      <c r="BN1025" s="147"/>
      <c r="BO1025" s="147"/>
      <c r="BP1025" s="147"/>
      <c r="BQ1025" s="147"/>
      <c r="BR1025" s="147"/>
      <c r="BS1025" s="147"/>
      <c r="BT1025" s="147"/>
      <c r="BU1025" s="147"/>
      <c r="BV1025" s="147"/>
      <c r="BW1025" s="147"/>
      <c r="BX1025" s="147"/>
      <c r="BY1025" s="147"/>
      <c r="BZ1025" s="147"/>
      <c r="CA1025" s="147"/>
      <c r="CB1025" s="147"/>
      <c r="CC1025" s="147"/>
      <c r="CD1025" s="147"/>
      <c r="CE1025" s="147"/>
      <c r="CF1025" s="147"/>
      <c r="CG1025" s="147"/>
      <c r="CH1025" s="147"/>
      <c r="CI1025" s="147"/>
      <c r="CJ1025" s="147"/>
      <c r="CK1025" s="147"/>
    </row>
    <row r="1026" spans="1:89">
      <c r="A1026" s="147"/>
      <c r="B1026" s="147"/>
      <c r="C1026" s="147"/>
      <c r="D1026" s="147"/>
      <c r="E1026" s="147"/>
      <c r="F1026" s="147"/>
      <c r="G1026" s="147"/>
      <c r="H1026" s="147"/>
      <c r="I1026" s="147"/>
      <c r="J1026" s="147"/>
      <c r="K1026" s="147"/>
      <c r="L1026" s="147"/>
      <c r="M1026" s="147"/>
      <c r="N1026" s="147"/>
      <c r="O1026" s="158"/>
      <c r="P1026" s="147"/>
      <c r="Q1026" s="147"/>
      <c r="R1026" s="147"/>
      <c r="S1026" s="147"/>
      <c r="T1026" s="147"/>
      <c r="U1026" s="147"/>
      <c r="V1026" s="147"/>
      <c r="W1026" s="147"/>
      <c r="X1026" s="147"/>
      <c r="Y1026" s="147"/>
      <c r="Z1026" s="147"/>
      <c r="AA1026" s="147"/>
      <c r="AB1026" s="147"/>
      <c r="AC1026" s="147"/>
      <c r="AD1026" s="147"/>
      <c r="AE1026" s="147"/>
      <c r="AF1026" s="147"/>
      <c r="AG1026" s="147"/>
      <c r="AH1026" s="147"/>
      <c r="AI1026" s="147"/>
      <c r="AJ1026" s="147"/>
      <c r="AK1026" s="147"/>
      <c r="AL1026" s="147"/>
      <c r="AM1026" s="147"/>
      <c r="AN1026" s="147"/>
      <c r="AO1026" s="147"/>
      <c r="AP1026" s="147"/>
      <c r="AQ1026" s="147"/>
      <c r="AR1026" s="147"/>
      <c r="AS1026" s="147"/>
      <c r="AT1026" s="147"/>
      <c r="AU1026" s="147"/>
      <c r="AV1026" s="147"/>
      <c r="AW1026" s="147"/>
      <c r="AX1026" s="147"/>
      <c r="AY1026" s="147"/>
      <c r="AZ1026" s="147"/>
      <c r="BA1026" s="147"/>
      <c r="BB1026" s="147"/>
      <c r="BC1026" s="147"/>
      <c r="BD1026" s="147"/>
      <c r="BE1026" s="147"/>
      <c r="BF1026" s="147"/>
      <c r="BG1026" s="147"/>
      <c r="BH1026" s="147"/>
      <c r="BI1026" s="147"/>
      <c r="BJ1026" s="147"/>
      <c r="BK1026" s="147"/>
      <c r="BL1026" s="147"/>
      <c r="BM1026" s="147"/>
      <c r="BN1026" s="147"/>
      <c r="BO1026" s="147"/>
      <c r="BP1026" s="147"/>
      <c r="BQ1026" s="147"/>
      <c r="BR1026" s="147"/>
      <c r="BS1026" s="147"/>
      <c r="BT1026" s="147"/>
      <c r="BU1026" s="147"/>
      <c r="BV1026" s="147"/>
      <c r="BW1026" s="147"/>
      <c r="BX1026" s="147"/>
      <c r="BY1026" s="147"/>
      <c r="BZ1026" s="147"/>
      <c r="CA1026" s="147"/>
      <c r="CB1026" s="147"/>
      <c r="CC1026" s="147"/>
      <c r="CD1026" s="147"/>
      <c r="CE1026" s="147"/>
      <c r="CF1026" s="147"/>
      <c r="CG1026" s="147"/>
      <c r="CH1026" s="147"/>
      <c r="CI1026" s="147"/>
      <c r="CJ1026" s="147"/>
      <c r="CK1026" s="147"/>
    </row>
    <row r="1027" spans="1:89">
      <c r="A1027" s="147"/>
      <c r="B1027" s="147"/>
      <c r="C1027" s="147"/>
      <c r="D1027" s="147"/>
      <c r="E1027" s="147"/>
      <c r="F1027" s="147"/>
      <c r="G1027" s="147"/>
      <c r="H1027" s="147"/>
      <c r="I1027" s="147"/>
      <c r="J1027" s="147"/>
      <c r="K1027" s="147"/>
      <c r="L1027" s="147"/>
      <c r="M1027" s="147"/>
      <c r="N1027" s="147"/>
      <c r="O1027" s="158"/>
      <c r="P1027" s="147"/>
      <c r="Q1027" s="147"/>
      <c r="R1027" s="147"/>
      <c r="S1027" s="147"/>
      <c r="T1027" s="147"/>
      <c r="U1027" s="147"/>
      <c r="V1027" s="147"/>
      <c r="W1027" s="147"/>
      <c r="X1027" s="147"/>
      <c r="Y1027" s="147"/>
      <c r="Z1027" s="147"/>
      <c r="AA1027" s="147"/>
      <c r="AB1027" s="147"/>
      <c r="AC1027" s="147"/>
      <c r="AD1027" s="147"/>
      <c r="AE1027" s="147"/>
      <c r="AF1027" s="147"/>
      <c r="AG1027" s="147"/>
      <c r="AH1027" s="147"/>
      <c r="AI1027" s="147"/>
      <c r="AJ1027" s="147"/>
      <c r="AK1027" s="147"/>
      <c r="AL1027" s="147"/>
      <c r="AM1027" s="147"/>
      <c r="AN1027" s="147"/>
      <c r="AO1027" s="147"/>
      <c r="AP1027" s="147"/>
      <c r="AQ1027" s="147"/>
      <c r="AR1027" s="147"/>
      <c r="AS1027" s="147"/>
      <c r="AT1027" s="147"/>
      <c r="AU1027" s="147"/>
      <c r="AV1027" s="147"/>
      <c r="AW1027" s="147"/>
      <c r="AX1027" s="147"/>
      <c r="AY1027" s="147"/>
      <c r="AZ1027" s="147"/>
      <c r="BA1027" s="147"/>
      <c r="BB1027" s="147"/>
      <c r="BC1027" s="147"/>
      <c r="BD1027" s="147"/>
      <c r="BE1027" s="147"/>
      <c r="BF1027" s="147"/>
      <c r="BG1027" s="147"/>
      <c r="BH1027" s="147"/>
      <c r="BI1027" s="147"/>
      <c r="BJ1027" s="147"/>
      <c r="BK1027" s="147"/>
      <c r="BL1027" s="147"/>
      <c r="BM1027" s="147"/>
      <c r="BN1027" s="147"/>
      <c r="BO1027" s="147"/>
      <c r="BP1027" s="147"/>
      <c r="BQ1027" s="147"/>
      <c r="BR1027" s="147"/>
      <c r="BS1027" s="147"/>
      <c r="BT1027" s="147"/>
      <c r="BU1027" s="147"/>
      <c r="BV1027" s="147"/>
      <c r="BW1027" s="147"/>
      <c r="BX1027" s="147"/>
      <c r="BY1027" s="147"/>
      <c r="BZ1027" s="147"/>
      <c r="CA1027" s="147"/>
      <c r="CB1027" s="147"/>
      <c r="CC1027" s="147"/>
      <c r="CD1027" s="147"/>
      <c r="CE1027" s="147"/>
      <c r="CF1027" s="147"/>
      <c r="CG1027" s="147"/>
      <c r="CH1027" s="147"/>
      <c r="CI1027" s="147"/>
      <c r="CJ1027" s="147"/>
      <c r="CK1027" s="147"/>
    </row>
    <row r="1028" spans="1:89">
      <c r="A1028" s="147"/>
      <c r="B1028" s="147"/>
      <c r="C1028" s="147"/>
      <c r="D1028" s="147"/>
      <c r="E1028" s="147"/>
      <c r="F1028" s="147"/>
      <c r="G1028" s="147"/>
      <c r="H1028" s="147"/>
      <c r="I1028" s="147"/>
      <c r="J1028" s="147"/>
      <c r="K1028" s="147"/>
      <c r="L1028" s="147"/>
      <c r="M1028" s="147"/>
      <c r="N1028" s="147"/>
      <c r="O1028" s="158"/>
      <c r="P1028" s="147"/>
      <c r="Q1028" s="147"/>
      <c r="R1028" s="147"/>
      <c r="S1028" s="147"/>
      <c r="T1028" s="147"/>
      <c r="U1028" s="147"/>
      <c r="V1028" s="147"/>
      <c r="W1028" s="147"/>
      <c r="X1028" s="147"/>
      <c r="Y1028" s="147"/>
      <c r="Z1028" s="147"/>
      <c r="AA1028" s="147"/>
      <c r="AB1028" s="147"/>
      <c r="AC1028" s="147"/>
      <c r="AD1028" s="147"/>
      <c r="AE1028" s="147"/>
      <c r="AF1028" s="147"/>
      <c r="AG1028" s="147"/>
      <c r="AH1028" s="147"/>
      <c r="AI1028" s="147"/>
      <c r="AJ1028" s="147"/>
      <c r="AK1028" s="147"/>
      <c r="AL1028" s="147"/>
      <c r="AM1028" s="147"/>
      <c r="AN1028" s="147"/>
      <c r="AO1028" s="147"/>
      <c r="AP1028" s="147"/>
      <c r="AQ1028" s="147"/>
      <c r="AR1028" s="147"/>
      <c r="AS1028" s="147"/>
      <c r="AT1028" s="147"/>
      <c r="AU1028" s="147"/>
      <c r="AV1028" s="147"/>
      <c r="AW1028" s="147"/>
      <c r="AX1028" s="147"/>
      <c r="AY1028" s="147"/>
      <c r="AZ1028" s="147"/>
      <c r="BA1028" s="147"/>
      <c r="BB1028" s="147"/>
      <c r="BC1028" s="147"/>
      <c r="BD1028" s="147"/>
      <c r="BE1028" s="147"/>
      <c r="BF1028" s="147"/>
      <c r="BG1028" s="147"/>
      <c r="BH1028" s="147"/>
      <c r="BI1028" s="147"/>
      <c r="BJ1028" s="147"/>
      <c r="BK1028" s="147"/>
      <c r="BL1028" s="147"/>
      <c r="BM1028" s="147"/>
      <c r="BN1028" s="147"/>
      <c r="BO1028" s="147"/>
      <c r="BP1028" s="147"/>
      <c r="BQ1028" s="147"/>
      <c r="BR1028" s="147"/>
      <c r="BS1028" s="147"/>
      <c r="BT1028" s="147"/>
      <c r="BU1028" s="147"/>
      <c r="BV1028" s="147"/>
      <c r="BW1028" s="147"/>
      <c r="BX1028" s="147"/>
      <c r="BY1028" s="147"/>
      <c r="BZ1028" s="147"/>
      <c r="CA1028" s="147"/>
      <c r="CB1028" s="147"/>
      <c r="CC1028" s="147"/>
      <c r="CD1028" s="147"/>
      <c r="CE1028" s="147"/>
      <c r="CF1028" s="147"/>
      <c r="CG1028" s="147"/>
      <c r="CH1028" s="147"/>
      <c r="CI1028" s="147"/>
      <c r="CJ1028" s="147"/>
      <c r="CK1028" s="147"/>
    </row>
    <row r="1029" spans="1:89">
      <c r="A1029" s="147"/>
      <c r="B1029" s="147"/>
      <c r="C1029" s="147"/>
      <c r="D1029" s="147"/>
      <c r="E1029" s="147"/>
      <c r="F1029" s="147"/>
      <c r="G1029" s="147"/>
      <c r="H1029" s="147"/>
      <c r="I1029" s="147"/>
      <c r="J1029" s="147"/>
      <c r="K1029" s="147"/>
      <c r="L1029" s="147"/>
      <c r="M1029" s="147"/>
      <c r="N1029" s="147"/>
      <c r="O1029" s="158"/>
      <c r="P1029" s="147"/>
      <c r="Q1029" s="147"/>
      <c r="R1029" s="147"/>
      <c r="S1029" s="147"/>
      <c r="T1029" s="147"/>
      <c r="U1029" s="147"/>
      <c r="V1029" s="147"/>
      <c r="W1029" s="147"/>
      <c r="X1029" s="147"/>
      <c r="Y1029" s="147"/>
      <c r="Z1029" s="147"/>
      <c r="AA1029" s="147"/>
      <c r="AB1029" s="147"/>
      <c r="AC1029" s="147"/>
      <c r="AD1029" s="147"/>
      <c r="AE1029" s="147"/>
      <c r="AF1029" s="147"/>
      <c r="AG1029" s="147"/>
      <c r="AH1029" s="147"/>
      <c r="AI1029" s="147"/>
      <c r="AJ1029" s="147"/>
      <c r="AK1029" s="147"/>
      <c r="AL1029" s="147"/>
      <c r="AM1029" s="147"/>
      <c r="AN1029" s="147"/>
      <c r="AO1029" s="147"/>
      <c r="AP1029" s="147"/>
      <c r="AQ1029" s="147"/>
      <c r="AR1029" s="147"/>
      <c r="AS1029" s="147"/>
      <c r="AT1029" s="147"/>
      <c r="AU1029" s="147"/>
      <c r="AV1029" s="147"/>
      <c r="AW1029" s="147"/>
      <c r="AX1029" s="147"/>
      <c r="AY1029" s="147"/>
      <c r="AZ1029" s="147"/>
      <c r="BA1029" s="147"/>
      <c r="BB1029" s="147"/>
      <c r="BC1029" s="147"/>
      <c r="BD1029" s="147"/>
      <c r="BE1029" s="147"/>
      <c r="BF1029" s="147"/>
      <c r="BG1029" s="147"/>
      <c r="BH1029" s="147"/>
      <c r="BI1029" s="147"/>
      <c r="BJ1029" s="147"/>
      <c r="BK1029" s="147"/>
      <c r="BL1029" s="147"/>
      <c r="BM1029" s="147"/>
      <c r="BN1029" s="147"/>
      <c r="BO1029" s="147"/>
      <c r="BP1029" s="147"/>
      <c r="BQ1029" s="147"/>
      <c r="BR1029" s="147"/>
      <c r="BS1029" s="147"/>
      <c r="BT1029" s="147"/>
      <c r="BU1029" s="147"/>
      <c r="BV1029" s="147"/>
      <c r="BW1029" s="147"/>
      <c r="BX1029" s="147"/>
      <c r="BY1029" s="147"/>
      <c r="BZ1029" s="147"/>
      <c r="CA1029" s="147"/>
      <c r="CB1029" s="147"/>
      <c r="CC1029" s="147"/>
      <c r="CD1029" s="147"/>
      <c r="CE1029" s="147"/>
      <c r="CF1029" s="147"/>
      <c r="CG1029" s="147"/>
      <c r="CH1029" s="147"/>
      <c r="CI1029" s="147"/>
      <c r="CJ1029" s="147"/>
      <c r="CK1029" s="147"/>
    </row>
    <row r="1030" spans="1:89">
      <c r="A1030" s="147"/>
      <c r="B1030" s="147"/>
      <c r="C1030" s="147"/>
      <c r="D1030" s="147"/>
      <c r="E1030" s="147"/>
      <c r="F1030" s="147"/>
      <c r="G1030" s="147"/>
      <c r="H1030" s="147"/>
      <c r="I1030" s="147"/>
      <c r="J1030" s="147"/>
      <c r="K1030" s="147"/>
      <c r="L1030" s="147"/>
      <c r="M1030" s="147"/>
      <c r="N1030" s="147"/>
      <c r="O1030" s="158"/>
      <c r="P1030" s="147"/>
      <c r="Q1030" s="147"/>
      <c r="R1030" s="147"/>
      <c r="S1030" s="147"/>
      <c r="T1030" s="147"/>
      <c r="U1030" s="147"/>
      <c r="V1030" s="147"/>
      <c r="W1030" s="147"/>
      <c r="X1030" s="147"/>
      <c r="Y1030" s="147"/>
      <c r="Z1030" s="147"/>
      <c r="AA1030" s="147"/>
      <c r="AB1030" s="147"/>
      <c r="AC1030" s="147"/>
      <c r="AD1030" s="147"/>
      <c r="AE1030" s="147"/>
      <c r="AF1030" s="147"/>
      <c r="AG1030" s="147"/>
      <c r="AH1030" s="147"/>
      <c r="AI1030" s="147"/>
      <c r="AJ1030" s="147"/>
      <c r="AK1030" s="147"/>
      <c r="AL1030" s="147"/>
      <c r="AM1030" s="147"/>
      <c r="AN1030" s="147"/>
      <c r="AO1030" s="147"/>
      <c r="AP1030" s="147"/>
      <c r="AQ1030" s="147"/>
      <c r="AR1030" s="147"/>
      <c r="AS1030" s="147"/>
      <c r="AT1030" s="147"/>
      <c r="AU1030" s="147"/>
      <c r="AV1030" s="147"/>
      <c r="AW1030" s="147"/>
      <c r="AX1030" s="147"/>
      <c r="AY1030" s="147"/>
      <c r="AZ1030" s="147"/>
      <c r="BA1030" s="147"/>
      <c r="BB1030" s="147"/>
      <c r="BC1030" s="147"/>
      <c r="BD1030" s="147"/>
      <c r="BE1030" s="147"/>
      <c r="BF1030" s="147"/>
      <c r="BG1030" s="147"/>
      <c r="BH1030" s="147"/>
      <c r="BI1030" s="147"/>
      <c r="BJ1030" s="147"/>
      <c r="BK1030" s="147"/>
      <c r="BL1030" s="147"/>
      <c r="BM1030" s="147"/>
      <c r="BN1030" s="147"/>
      <c r="BO1030" s="147"/>
      <c r="BP1030" s="147"/>
      <c r="BQ1030" s="147"/>
      <c r="BR1030" s="147"/>
      <c r="BS1030" s="147"/>
      <c r="BT1030" s="147"/>
      <c r="BU1030" s="147"/>
      <c r="BV1030" s="147"/>
      <c r="BW1030" s="147"/>
      <c r="BX1030" s="147"/>
      <c r="BY1030" s="147"/>
      <c r="BZ1030" s="147"/>
      <c r="CA1030" s="147"/>
      <c r="CB1030" s="147"/>
      <c r="CC1030" s="147"/>
      <c r="CD1030" s="147"/>
      <c r="CE1030" s="147"/>
      <c r="CF1030" s="147"/>
      <c r="CG1030" s="147"/>
      <c r="CH1030" s="147"/>
      <c r="CI1030" s="147"/>
      <c r="CJ1030" s="147"/>
      <c r="CK1030" s="147"/>
    </row>
    <row r="1031" spans="1:89">
      <c r="A1031" s="147"/>
      <c r="B1031" s="147"/>
      <c r="C1031" s="147"/>
      <c r="D1031" s="147"/>
      <c r="E1031" s="147"/>
      <c r="F1031" s="147"/>
      <c r="G1031" s="147"/>
      <c r="H1031" s="147"/>
      <c r="I1031" s="147"/>
      <c r="J1031" s="147"/>
      <c r="K1031" s="147"/>
      <c r="L1031" s="147"/>
      <c r="M1031" s="147"/>
      <c r="N1031" s="147"/>
      <c r="O1031" s="158"/>
      <c r="P1031" s="147"/>
      <c r="Q1031" s="147"/>
      <c r="R1031" s="147"/>
      <c r="S1031" s="147"/>
      <c r="T1031" s="147"/>
      <c r="U1031" s="147"/>
      <c r="V1031" s="147"/>
      <c r="W1031" s="147"/>
      <c r="X1031" s="147"/>
      <c r="Y1031" s="147"/>
      <c r="Z1031" s="147"/>
      <c r="AA1031" s="147"/>
      <c r="AB1031" s="147"/>
      <c r="AC1031" s="147"/>
      <c r="AD1031" s="147"/>
      <c r="AE1031" s="147"/>
      <c r="AF1031" s="147"/>
      <c r="AG1031" s="147"/>
      <c r="AH1031" s="147"/>
      <c r="AI1031" s="147"/>
      <c r="AJ1031" s="147"/>
      <c r="AK1031" s="147"/>
      <c r="AL1031" s="147"/>
      <c r="AM1031" s="147"/>
      <c r="AN1031" s="147"/>
      <c r="AO1031" s="147"/>
      <c r="AP1031" s="147"/>
      <c r="AQ1031" s="147"/>
      <c r="AR1031" s="147"/>
      <c r="AS1031" s="147"/>
      <c r="AT1031" s="147"/>
      <c r="AU1031" s="147"/>
      <c r="AV1031" s="147"/>
      <c r="AW1031" s="147"/>
      <c r="AX1031" s="147"/>
      <c r="AY1031" s="147"/>
      <c r="AZ1031" s="147"/>
      <c r="BA1031" s="147"/>
      <c r="BB1031" s="147"/>
      <c r="BC1031" s="147"/>
      <c r="BD1031" s="147"/>
      <c r="BE1031" s="147"/>
      <c r="BF1031" s="147"/>
      <c r="BG1031" s="147"/>
      <c r="BH1031" s="147"/>
      <c r="BI1031" s="147"/>
      <c r="BJ1031" s="147"/>
      <c r="BK1031" s="147"/>
      <c r="BL1031" s="147"/>
      <c r="BM1031" s="147"/>
      <c r="BN1031" s="147"/>
      <c r="BO1031" s="147"/>
      <c r="BP1031" s="147"/>
      <c r="BQ1031" s="147"/>
      <c r="BR1031" s="147"/>
      <c r="BS1031" s="147"/>
      <c r="BT1031" s="147"/>
      <c r="BU1031" s="147"/>
      <c r="BV1031" s="147"/>
      <c r="BW1031" s="147"/>
      <c r="BX1031" s="147"/>
      <c r="BY1031" s="147"/>
      <c r="BZ1031" s="147"/>
      <c r="CA1031" s="147"/>
      <c r="CB1031" s="147"/>
      <c r="CC1031" s="147"/>
      <c r="CD1031" s="147"/>
      <c r="CE1031" s="147"/>
      <c r="CF1031" s="147"/>
      <c r="CG1031" s="147"/>
      <c r="CH1031" s="147"/>
      <c r="CI1031" s="147"/>
      <c r="CJ1031" s="147"/>
      <c r="CK1031" s="147"/>
    </row>
    <row r="1032" spans="1:89">
      <c r="A1032" s="147"/>
      <c r="B1032" s="147"/>
      <c r="C1032" s="147"/>
      <c r="D1032" s="147"/>
      <c r="E1032" s="147"/>
      <c r="F1032" s="147"/>
      <c r="G1032" s="147"/>
      <c r="H1032" s="147"/>
      <c r="I1032" s="147"/>
      <c r="J1032" s="147"/>
      <c r="K1032" s="147"/>
      <c r="L1032" s="147"/>
      <c r="M1032" s="147"/>
      <c r="N1032" s="147"/>
      <c r="O1032" s="158"/>
      <c r="P1032" s="147"/>
      <c r="Q1032" s="147"/>
      <c r="R1032" s="147"/>
      <c r="S1032" s="147"/>
      <c r="T1032" s="147"/>
      <c r="U1032" s="147"/>
      <c r="V1032" s="147"/>
      <c r="W1032" s="147"/>
      <c r="X1032" s="147"/>
      <c r="Y1032" s="147"/>
      <c r="Z1032" s="147"/>
      <c r="AA1032" s="147"/>
      <c r="AB1032" s="147"/>
      <c r="AC1032" s="147"/>
      <c r="AD1032" s="147"/>
      <c r="AE1032" s="147"/>
      <c r="AF1032" s="147"/>
      <c r="AG1032" s="147"/>
      <c r="AH1032" s="147"/>
      <c r="AI1032" s="147"/>
      <c r="AJ1032" s="147"/>
      <c r="AK1032" s="147"/>
      <c r="AL1032" s="147"/>
      <c r="AM1032" s="147"/>
      <c r="AN1032" s="147"/>
      <c r="AO1032" s="147"/>
      <c r="AP1032" s="147"/>
      <c r="AQ1032" s="147"/>
      <c r="AR1032" s="147"/>
      <c r="AS1032" s="147"/>
      <c r="AT1032" s="147"/>
      <c r="AU1032" s="147"/>
      <c r="AV1032" s="147"/>
      <c r="AW1032" s="147"/>
      <c r="AX1032" s="147"/>
      <c r="AY1032" s="147"/>
      <c r="AZ1032" s="147"/>
      <c r="BA1032" s="147"/>
      <c r="BB1032" s="147"/>
      <c r="BC1032" s="147"/>
      <c r="BD1032" s="147"/>
      <c r="BE1032" s="147"/>
      <c r="BF1032" s="147"/>
      <c r="BG1032" s="147"/>
      <c r="BH1032" s="147"/>
      <c r="BI1032" s="147"/>
      <c r="BJ1032" s="147"/>
      <c r="BK1032" s="147"/>
      <c r="BL1032" s="147"/>
      <c r="BM1032" s="147"/>
      <c r="BN1032" s="147"/>
      <c r="BO1032" s="147"/>
      <c r="BP1032" s="147"/>
      <c r="BQ1032" s="147"/>
      <c r="BR1032" s="147"/>
      <c r="BS1032" s="147"/>
      <c r="BT1032" s="147"/>
      <c r="BU1032" s="147"/>
      <c r="BV1032" s="147"/>
      <c r="BW1032" s="147"/>
      <c r="BX1032" s="147"/>
      <c r="BY1032" s="147"/>
      <c r="BZ1032" s="147"/>
      <c r="CA1032" s="147"/>
      <c r="CB1032" s="147"/>
      <c r="CC1032" s="147"/>
      <c r="CD1032" s="147"/>
      <c r="CE1032" s="147"/>
      <c r="CF1032" s="147"/>
      <c r="CG1032" s="147"/>
      <c r="CH1032" s="147"/>
      <c r="CI1032" s="147"/>
      <c r="CJ1032" s="147"/>
      <c r="CK1032" s="147"/>
    </row>
    <row r="1033" spans="1:89">
      <c r="A1033" s="147"/>
      <c r="B1033" s="147"/>
      <c r="C1033" s="147"/>
      <c r="D1033" s="147"/>
      <c r="E1033" s="147"/>
      <c r="F1033" s="147"/>
      <c r="G1033" s="147"/>
      <c r="H1033" s="147"/>
      <c r="I1033" s="147"/>
      <c r="J1033" s="147"/>
      <c r="K1033" s="147"/>
      <c r="L1033" s="147"/>
      <c r="M1033" s="147"/>
      <c r="N1033" s="147"/>
      <c r="O1033" s="158"/>
      <c r="P1033" s="147"/>
      <c r="Q1033" s="147"/>
      <c r="R1033" s="147"/>
      <c r="S1033" s="147"/>
      <c r="T1033" s="147"/>
      <c r="U1033" s="147"/>
      <c r="V1033" s="147"/>
      <c r="W1033" s="147"/>
      <c r="X1033" s="147"/>
      <c r="Y1033" s="147"/>
      <c r="Z1033" s="147"/>
      <c r="AA1033" s="147"/>
      <c r="AB1033" s="147"/>
      <c r="AC1033" s="147"/>
      <c r="AD1033" s="147"/>
      <c r="AE1033" s="147"/>
      <c r="AF1033" s="147"/>
      <c r="AG1033" s="147"/>
      <c r="AH1033" s="147"/>
      <c r="AI1033" s="147"/>
      <c r="AJ1033" s="147"/>
      <c r="AK1033" s="147"/>
      <c r="AL1033" s="147"/>
      <c r="AM1033" s="147"/>
      <c r="AN1033" s="147"/>
      <c r="AO1033" s="147"/>
      <c r="AP1033" s="147"/>
      <c r="AQ1033" s="147"/>
      <c r="AR1033" s="147"/>
      <c r="AS1033" s="147"/>
      <c r="AT1033" s="147"/>
      <c r="AU1033" s="147"/>
      <c r="AV1033" s="147"/>
      <c r="AW1033" s="147"/>
      <c r="AX1033" s="147"/>
      <c r="AY1033" s="147"/>
      <c r="AZ1033" s="147"/>
      <c r="BA1033" s="147"/>
      <c r="BB1033" s="147"/>
      <c r="BC1033" s="147"/>
      <c r="BD1033" s="147"/>
      <c r="BE1033" s="147"/>
      <c r="BF1033" s="147"/>
      <c r="BG1033" s="147"/>
      <c r="BH1033" s="147"/>
      <c r="BI1033" s="147"/>
      <c r="BJ1033" s="147"/>
      <c r="BK1033" s="147"/>
      <c r="BL1033" s="147"/>
      <c r="BM1033" s="147"/>
      <c r="BN1033" s="147"/>
      <c r="BO1033" s="147"/>
      <c r="BP1033" s="147"/>
      <c r="BQ1033" s="147"/>
      <c r="BR1033" s="147"/>
      <c r="BS1033" s="147"/>
      <c r="BT1033" s="147"/>
      <c r="BU1033" s="147"/>
      <c r="BV1033" s="147"/>
      <c r="BW1033" s="147"/>
      <c r="BX1033" s="147"/>
      <c r="BY1033" s="147"/>
      <c r="BZ1033" s="147"/>
      <c r="CA1033" s="147"/>
      <c r="CB1033" s="147"/>
      <c r="CC1033" s="147"/>
      <c r="CD1033" s="147"/>
      <c r="CE1033" s="147"/>
      <c r="CF1033" s="147"/>
      <c r="CG1033" s="147"/>
      <c r="CH1033" s="147"/>
      <c r="CI1033" s="147"/>
      <c r="CJ1033" s="147"/>
      <c r="CK1033" s="147"/>
    </row>
    <row r="1034" spans="1:89">
      <c r="A1034" s="147"/>
      <c r="B1034" s="147"/>
      <c r="C1034" s="147"/>
      <c r="D1034" s="147"/>
      <c r="E1034" s="147"/>
      <c r="F1034" s="147"/>
      <c r="G1034" s="147"/>
      <c r="H1034" s="147"/>
      <c r="I1034" s="147"/>
      <c r="J1034" s="147"/>
      <c r="K1034" s="147"/>
      <c r="L1034" s="147"/>
      <c r="M1034" s="147"/>
      <c r="N1034" s="147"/>
      <c r="O1034" s="158"/>
      <c r="P1034" s="147"/>
      <c r="Q1034" s="147"/>
      <c r="R1034" s="147"/>
      <c r="S1034" s="147"/>
      <c r="T1034" s="147"/>
      <c r="U1034" s="147"/>
      <c r="V1034" s="147"/>
      <c r="W1034" s="147"/>
      <c r="X1034" s="147"/>
      <c r="Y1034" s="147"/>
      <c r="Z1034" s="147"/>
      <c r="AA1034" s="147"/>
      <c r="AB1034" s="147"/>
      <c r="AC1034" s="147"/>
      <c r="AD1034" s="147"/>
      <c r="AE1034" s="147"/>
      <c r="AF1034" s="147"/>
      <c r="AG1034" s="147"/>
      <c r="AH1034" s="147"/>
      <c r="AI1034" s="147"/>
      <c r="AJ1034" s="147"/>
      <c r="AK1034" s="147"/>
      <c r="AL1034" s="147"/>
      <c r="AM1034" s="147"/>
      <c r="AN1034" s="147"/>
      <c r="AO1034" s="147"/>
      <c r="AP1034" s="147"/>
      <c r="AQ1034" s="147"/>
      <c r="AR1034" s="147"/>
      <c r="AS1034" s="147"/>
      <c r="AT1034" s="147"/>
      <c r="AU1034" s="147"/>
      <c r="AV1034" s="147"/>
      <c r="AW1034" s="147"/>
      <c r="AX1034" s="147"/>
      <c r="AY1034" s="147"/>
      <c r="AZ1034" s="147"/>
      <c r="BA1034" s="147"/>
      <c r="BB1034" s="147"/>
      <c r="BC1034" s="147"/>
      <c r="BD1034" s="147"/>
      <c r="BE1034" s="147"/>
      <c r="BF1034" s="147"/>
      <c r="BG1034" s="147"/>
      <c r="BH1034" s="147"/>
      <c r="BI1034" s="147"/>
      <c r="BJ1034" s="147"/>
      <c r="BK1034" s="147"/>
      <c r="BL1034" s="147"/>
      <c r="BM1034" s="147"/>
      <c r="BN1034" s="147"/>
      <c r="BO1034" s="147"/>
      <c r="BP1034" s="147"/>
      <c r="BQ1034" s="147"/>
      <c r="BR1034" s="147"/>
      <c r="BS1034" s="147"/>
      <c r="BT1034" s="147"/>
      <c r="BU1034" s="147"/>
      <c r="BV1034" s="147"/>
      <c r="BW1034" s="147"/>
      <c r="BX1034" s="147"/>
      <c r="BY1034" s="147"/>
      <c r="BZ1034" s="147"/>
      <c r="CA1034" s="147"/>
      <c r="CB1034" s="147"/>
      <c r="CC1034" s="147"/>
      <c r="CD1034" s="147"/>
      <c r="CE1034" s="147"/>
      <c r="CF1034" s="147"/>
      <c r="CG1034" s="147"/>
      <c r="CH1034" s="147"/>
      <c r="CI1034" s="147"/>
      <c r="CJ1034" s="147"/>
      <c r="CK1034" s="147"/>
    </row>
    <row r="1035" spans="1:89">
      <c r="A1035" s="147"/>
      <c r="B1035" s="147"/>
      <c r="C1035" s="147"/>
      <c r="D1035" s="147"/>
      <c r="E1035" s="147"/>
      <c r="F1035" s="147"/>
      <c r="G1035" s="147"/>
      <c r="H1035" s="147"/>
      <c r="I1035" s="147"/>
      <c r="J1035" s="147"/>
      <c r="K1035" s="147"/>
      <c r="L1035" s="147"/>
      <c r="M1035" s="147"/>
      <c r="N1035" s="147"/>
      <c r="O1035" s="158"/>
      <c r="P1035" s="147"/>
      <c r="Q1035" s="147"/>
      <c r="R1035" s="147"/>
      <c r="S1035" s="147"/>
      <c r="T1035" s="147"/>
      <c r="U1035" s="147"/>
      <c r="V1035" s="147"/>
      <c r="W1035" s="147"/>
      <c r="X1035" s="147"/>
      <c r="Y1035" s="147"/>
      <c r="Z1035" s="147"/>
      <c r="AA1035" s="147"/>
      <c r="AB1035" s="147"/>
      <c r="AC1035" s="147"/>
      <c r="AD1035" s="147"/>
      <c r="AE1035" s="147"/>
      <c r="AF1035" s="147"/>
      <c r="AG1035" s="147"/>
      <c r="AH1035" s="147"/>
      <c r="AI1035" s="147"/>
      <c r="AJ1035" s="147"/>
      <c r="AK1035" s="147"/>
      <c r="AL1035" s="147"/>
      <c r="AM1035" s="147"/>
      <c r="AN1035" s="147"/>
      <c r="AO1035" s="147"/>
      <c r="AP1035" s="147"/>
      <c r="AQ1035" s="147"/>
      <c r="AR1035" s="147"/>
      <c r="AS1035" s="147"/>
      <c r="AT1035" s="147"/>
      <c r="AU1035" s="147"/>
      <c r="AV1035" s="147"/>
      <c r="AW1035" s="147"/>
      <c r="AX1035" s="147"/>
      <c r="AY1035" s="147"/>
      <c r="AZ1035" s="147"/>
      <c r="BA1035" s="147"/>
      <c r="BB1035" s="147"/>
      <c r="BC1035" s="147"/>
      <c r="BD1035" s="147"/>
      <c r="BE1035" s="147"/>
      <c r="BF1035" s="147"/>
      <c r="BG1035" s="147"/>
      <c r="BH1035" s="147"/>
      <c r="BI1035" s="147"/>
      <c r="BJ1035" s="147"/>
      <c r="BK1035" s="147"/>
      <c r="BL1035" s="147"/>
      <c r="BM1035" s="147"/>
      <c r="BN1035" s="147"/>
      <c r="BO1035" s="147"/>
      <c r="BP1035" s="147"/>
      <c r="BQ1035" s="147"/>
      <c r="BR1035" s="147"/>
      <c r="BS1035" s="147"/>
      <c r="BT1035" s="147"/>
      <c r="BU1035" s="147"/>
      <c r="BV1035" s="147"/>
      <c r="BW1035" s="147"/>
      <c r="BX1035" s="147"/>
      <c r="BY1035" s="147"/>
      <c r="BZ1035" s="147"/>
      <c r="CA1035" s="147"/>
      <c r="CB1035" s="147"/>
      <c r="CC1035" s="147"/>
      <c r="CD1035" s="147"/>
      <c r="CE1035" s="147"/>
      <c r="CF1035" s="147"/>
      <c r="CG1035" s="147"/>
      <c r="CH1035" s="147"/>
      <c r="CI1035" s="147"/>
      <c r="CJ1035" s="147"/>
      <c r="CK1035" s="147"/>
    </row>
    <row r="1036" spans="1:89">
      <c r="A1036" s="147"/>
      <c r="B1036" s="147"/>
      <c r="C1036" s="147"/>
      <c r="D1036" s="147"/>
      <c r="E1036" s="147"/>
      <c r="F1036" s="147"/>
      <c r="G1036" s="147"/>
      <c r="H1036" s="147"/>
      <c r="I1036" s="147"/>
      <c r="J1036" s="147"/>
      <c r="K1036" s="147"/>
      <c r="L1036" s="147"/>
      <c r="M1036" s="147"/>
      <c r="N1036" s="147"/>
      <c r="O1036" s="158"/>
      <c r="P1036" s="147"/>
      <c r="Q1036" s="147"/>
      <c r="R1036" s="147"/>
      <c r="S1036" s="147"/>
      <c r="T1036" s="147"/>
      <c r="U1036" s="147"/>
      <c r="V1036" s="147"/>
      <c r="W1036" s="147"/>
      <c r="X1036" s="147"/>
      <c r="Y1036" s="147"/>
      <c r="Z1036" s="147"/>
      <c r="AA1036" s="147"/>
      <c r="AB1036" s="147"/>
      <c r="AC1036" s="147"/>
      <c r="AD1036" s="147"/>
      <c r="AE1036" s="147"/>
      <c r="AF1036" s="147"/>
      <c r="AG1036" s="147"/>
      <c r="AH1036" s="147"/>
      <c r="AI1036" s="147"/>
      <c r="AJ1036" s="147"/>
      <c r="AK1036" s="147"/>
      <c r="AL1036" s="147"/>
      <c r="AM1036" s="147"/>
      <c r="AN1036" s="147"/>
      <c r="AO1036" s="147"/>
      <c r="AP1036" s="147"/>
      <c r="AQ1036" s="147"/>
      <c r="AR1036" s="147"/>
      <c r="AS1036" s="147"/>
      <c r="AT1036" s="147"/>
      <c r="AU1036" s="147"/>
      <c r="AV1036" s="147"/>
      <c r="AW1036" s="147"/>
      <c r="AX1036" s="147"/>
      <c r="AY1036" s="147"/>
      <c r="AZ1036" s="147"/>
      <c r="BA1036" s="147"/>
      <c r="BB1036" s="147"/>
      <c r="BC1036" s="147"/>
      <c r="BD1036" s="147"/>
      <c r="BE1036" s="147"/>
      <c r="BF1036" s="147"/>
      <c r="BG1036" s="147"/>
      <c r="BH1036" s="147"/>
      <c r="BI1036" s="147"/>
      <c r="BJ1036" s="147"/>
      <c r="BK1036" s="147"/>
      <c r="BL1036" s="147"/>
      <c r="BM1036" s="147"/>
      <c r="BN1036" s="147"/>
      <c r="BO1036" s="147"/>
      <c r="BP1036" s="147"/>
      <c r="BQ1036" s="147"/>
      <c r="BR1036" s="147"/>
      <c r="BS1036" s="147"/>
      <c r="BT1036" s="147"/>
      <c r="BU1036" s="147"/>
      <c r="BV1036" s="147"/>
      <c r="BW1036" s="147"/>
      <c r="BX1036" s="147"/>
      <c r="BY1036" s="147"/>
      <c r="BZ1036" s="147"/>
      <c r="CA1036" s="147"/>
      <c r="CB1036" s="147"/>
      <c r="CC1036" s="147"/>
      <c r="CD1036" s="147"/>
      <c r="CE1036" s="147"/>
      <c r="CF1036" s="147"/>
      <c r="CG1036" s="147"/>
      <c r="CH1036" s="147"/>
      <c r="CI1036" s="147"/>
      <c r="CJ1036" s="147"/>
      <c r="CK1036" s="147"/>
    </row>
    <row r="1037" spans="1:89">
      <c r="A1037" s="147"/>
      <c r="B1037" s="147"/>
      <c r="C1037" s="147"/>
      <c r="D1037" s="147"/>
      <c r="E1037" s="147"/>
      <c r="F1037" s="147"/>
      <c r="G1037" s="147"/>
      <c r="H1037" s="147"/>
      <c r="I1037" s="147"/>
      <c r="J1037" s="147"/>
      <c r="K1037" s="147"/>
      <c r="L1037" s="147"/>
      <c r="M1037" s="147"/>
      <c r="N1037" s="147"/>
      <c r="O1037" s="158"/>
      <c r="P1037" s="147"/>
      <c r="Q1037" s="147"/>
      <c r="R1037" s="147"/>
      <c r="S1037" s="147"/>
      <c r="T1037" s="147"/>
      <c r="U1037" s="147"/>
      <c r="V1037" s="147"/>
      <c r="W1037" s="147"/>
      <c r="X1037" s="147"/>
      <c r="Y1037" s="147"/>
      <c r="Z1037" s="147"/>
      <c r="AA1037" s="147"/>
      <c r="AB1037" s="147"/>
      <c r="AC1037" s="147"/>
      <c r="AD1037" s="147"/>
      <c r="AE1037" s="147"/>
      <c r="AF1037" s="147"/>
      <c r="AG1037" s="147"/>
      <c r="AH1037" s="147"/>
      <c r="AI1037" s="147"/>
      <c r="AJ1037" s="147"/>
      <c r="AK1037" s="147"/>
      <c r="AL1037" s="147"/>
      <c r="AM1037" s="147"/>
      <c r="AN1037" s="147"/>
      <c r="AO1037" s="147"/>
      <c r="AP1037" s="147"/>
      <c r="AQ1037" s="147"/>
      <c r="AR1037" s="147"/>
      <c r="AS1037" s="147"/>
      <c r="AT1037" s="147"/>
      <c r="AU1037" s="147"/>
      <c r="AV1037" s="147"/>
      <c r="AW1037" s="147"/>
      <c r="AX1037" s="147"/>
      <c r="AY1037" s="147"/>
      <c r="AZ1037" s="147"/>
      <c r="BA1037" s="147"/>
      <c r="BB1037" s="147"/>
      <c r="BC1037" s="147"/>
      <c r="BD1037" s="147"/>
      <c r="BE1037" s="147"/>
      <c r="BF1037" s="147"/>
      <c r="BG1037" s="147"/>
      <c r="BH1037" s="147"/>
      <c r="BI1037" s="147"/>
      <c r="BJ1037" s="147"/>
      <c r="BK1037" s="147"/>
      <c r="BL1037" s="147"/>
      <c r="BM1037" s="147"/>
      <c r="BN1037" s="147"/>
      <c r="BO1037" s="147"/>
      <c r="BP1037" s="147"/>
      <c r="BQ1037" s="147"/>
      <c r="BR1037" s="147"/>
      <c r="BS1037" s="147"/>
      <c r="BT1037" s="147"/>
      <c r="BU1037" s="147"/>
      <c r="BV1037" s="147"/>
      <c r="BW1037" s="147"/>
      <c r="BX1037" s="147"/>
      <c r="BY1037" s="147"/>
      <c r="BZ1037" s="147"/>
      <c r="CA1037" s="147"/>
      <c r="CB1037" s="147"/>
      <c r="CC1037" s="147"/>
      <c r="CD1037" s="147"/>
      <c r="CE1037" s="147"/>
      <c r="CF1037" s="147"/>
      <c r="CG1037" s="147"/>
      <c r="CH1037" s="147"/>
      <c r="CI1037" s="147"/>
      <c r="CJ1037" s="147"/>
      <c r="CK1037" s="147"/>
    </row>
    <row r="1038" spans="1:89">
      <c r="A1038" s="147"/>
      <c r="B1038" s="147"/>
      <c r="C1038" s="147"/>
      <c r="D1038" s="147"/>
      <c r="E1038" s="147"/>
      <c r="F1038" s="147"/>
      <c r="G1038" s="147"/>
      <c r="H1038" s="147"/>
      <c r="I1038" s="147"/>
      <c r="J1038" s="147"/>
      <c r="K1038" s="147"/>
      <c r="L1038" s="147"/>
      <c r="M1038" s="147"/>
      <c r="N1038" s="147"/>
      <c r="O1038" s="158"/>
      <c r="P1038" s="147"/>
      <c r="Q1038" s="147"/>
      <c r="R1038" s="147"/>
      <c r="S1038" s="147"/>
      <c r="T1038" s="147"/>
      <c r="U1038" s="147"/>
      <c r="V1038" s="147"/>
      <c r="W1038" s="147"/>
      <c r="X1038" s="147"/>
      <c r="Y1038" s="147"/>
      <c r="Z1038" s="147"/>
      <c r="AA1038" s="147"/>
      <c r="AB1038" s="147"/>
      <c r="AC1038" s="147"/>
      <c r="AD1038" s="147"/>
      <c r="AE1038" s="147"/>
      <c r="AF1038" s="147"/>
      <c r="AG1038" s="147"/>
      <c r="AH1038" s="147"/>
      <c r="AI1038" s="147"/>
      <c r="AJ1038" s="147"/>
      <c r="AK1038" s="147"/>
      <c r="AL1038" s="147"/>
      <c r="AM1038" s="147"/>
      <c r="AN1038" s="147"/>
      <c r="AO1038" s="147"/>
      <c r="AP1038" s="147"/>
      <c r="AQ1038" s="147"/>
      <c r="AR1038" s="147"/>
      <c r="AS1038" s="147"/>
      <c r="AT1038" s="147"/>
      <c r="AU1038" s="147"/>
      <c r="AV1038" s="147"/>
      <c r="AW1038" s="147"/>
      <c r="AX1038" s="147"/>
      <c r="AY1038" s="147"/>
      <c r="AZ1038" s="147"/>
      <c r="BA1038" s="147"/>
      <c r="BB1038" s="147"/>
      <c r="BC1038" s="147"/>
      <c r="BD1038" s="147"/>
      <c r="BE1038" s="147"/>
      <c r="BF1038" s="147"/>
      <c r="BG1038" s="147"/>
      <c r="BH1038" s="147"/>
      <c r="BI1038" s="147"/>
      <c r="BJ1038" s="147"/>
      <c r="BK1038" s="147"/>
      <c r="BL1038" s="147"/>
      <c r="BM1038" s="147"/>
      <c r="BN1038" s="147"/>
      <c r="BO1038" s="147"/>
      <c r="BP1038" s="147"/>
      <c r="BQ1038" s="147"/>
      <c r="BR1038" s="147"/>
      <c r="BS1038" s="147"/>
      <c r="BT1038" s="147"/>
      <c r="BU1038" s="147"/>
      <c r="BV1038" s="147"/>
      <c r="BW1038" s="147"/>
      <c r="BX1038" s="147"/>
      <c r="BY1038" s="147"/>
      <c r="BZ1038" s="147"/>
      <c r="CA1038" s="147"/>
      <c r="CB1038" s="147"/>
      <c r="CC1038" s="147"/>
      <c r="CD1038" s="147"/>
      <c r="CE1038" s="147"/>
      <c r="CF1038" s="147"/>
      <c r="CG1038" s="147"/>
      <c r="CH1038" s="147"/>
      <c r="CI1038" s="147"/>
      <c r="CJ1038" s="147"/>
      <c r="CK1038" s="147"/>
    </row>
    <row r="1039" spans="1:89">
      <c r="A1039" s="147"/>
      <c r="B1039" s="147"/>
      <c r="C1039" s="147"/>
      <c r="D1039" s="147"/>
      <c r="E1039" s="147"/>
      <c r="F1039" s="147"/>
      <c r="G1039" s="147"/>
      <c r="H1039" s="147"/>
      <c r="I1039" s="147"/>
      <c r="J1039" s="147"/>
      <c r="K1039" s="147"/>
      <c r="L1039" s="147"/>
      <c r="M1039" s="147"/>
      <c r="N1039" s="147"/>
      <c r="O1039" s="158"/>
      <c r="P1039" s="147"/>
      <c r="Q1039" s="147"/>
      <c r="R1039" s="147"/>
      <c r="S1039" s="147"/>
      <c r="T1039" s="147"/>
      <c r="U1039" s="147"/>
      <c r="V1039" s="147"/>
      <c r="W1039" s="147"/>
      <c r="X1039" s="147"/>
      <c r="Y1039" s="147"/>
      <c r="Z1039" s="147"/>
      <c r="AA1039" s="147"/>
      <c r="AB1039" s="147"/>
      <c r="AC1039" s="147"/>
      <c r="AD1039" s="147"/>
      <c r="AE1039" s="147"/>
      <c r="AF1039" s="147"/>
      <c r="AG1039" s="147"/>
      <c r="AH1039" s="147"/>
      <c r="AI1039" s="147"/>
      <c r="AJ1039" s="147"/>
      <c r="AK1039" s="147"/>
      <c r="AL1039" s="147"/>
      <c r="AM1039" s="147"/>
      <c r="AN1039" s="147"/>
      <c r="AO1039" s="147"/>
      <c r="AP1039" s="147"/>
      <c r="AQ1039" s="147"/>
      <c r="AR1039" s="147"/>
      <c r="AS1039" s="147"/>
      <c r="AT1039" s="147"/>
      <c r="AU1039" s="147"/>
      <c r="AV1039" s="147"/>
      <c r="AW1039" s="147"/>
      <c r="AX1039" s="147"/>
      <c r="AY1039" s="147"/>
      <c r="AZ1039" s="147"/>
      <c r="BA1039" s="147"/>
      <c r="BB1039" s="147"/>
      <c r="BC1039" s="147"/>
      <c r="BD1039" s="147"/>
      <c r="BE1039" s="147"/>
      <c r="BF1039" s="147"/>
      <c r="BG1039" s="147"/>
      <c r="BH1039" s="147"/>
      <c r="BI1039" s="147"/>
      <c r="BJ1039" s="147"/>
      <c r="BK1039" s="147"/>
      <c r="BL1039" s="147"/>
      <c r="BM1039" s="147"/>
      <c r="BN1039" s="147"/>
      <c r="BO1039" s="147"/>
      <c r="BP1039" s="147"/>
      <c r="BQ1039" s="147"/>
      <c r="BR1039" s="147"/>
      <c r="BS1039" s="147"/>
      <c r="BT1039" s="147"/>
      <c r="BU1039" s="147"/>
      <c r="BV1039" s="147"/>
      <c r="BW1039" s="147"/>
      <c r="BX1039" s="147"/>
      <c r="BY1039" s="147"/>
      <c r="BZ1039" s="147"/>
      <c r="CA1039" s="147"/>
      <c r="CB1039" s="147"/>
      <c r="CC1039" s="147"/>
      <c r="CD1039" s="147"/>
      <c r="CE1039" s="147"/>
      <c r="CF1039" s="147"/>
      <c r="CG1039" s="147"/>
      <c r="CH1039" s="147"/>
      <c r="CI1039" s="147"/>
      <c r="CJ1039" s="147"/>
      <c r="CK1039" s="147"/>
    </row>
    <row r="1040" spans="1:89">
      <c r="A1040" s="147"/>
      <c r="B1040" s="147"/>
      <c r="C1040" s="147"/>
      <c r="D1040" s="147"/>
      <c r="E1040" s="147"/>
      <c r="F1040" s="147"/>
      <c r="G1040" s="147"/>
      <c r="H1040" s="147"/>
      <c r="I1040" s="147"/>
      <c r="J1040" s="147"/>
      <c r="K1040" s="147"/>
      <c r="L1040" s="147"/>
      <c r="M1040" s="147"/>
      <c r="N1040" s="147"/>
      <c r="O1040" s="158"/>
      <c r="P1040" s="147"/>
      <c r="Q1040" s="147"/>
      <c r="R1040" s="147"/>
      <c r="S1040" s="147"/>
      <c r="T1040" s="147"/>
      <c r="U1040" s="147"/>
      <c r="V1040" s="147"/>
      <c r="W1040" s="147"/>
      <c r="X1040" s="147"/>
      <c r="Y1040" s="147"/>
      <c r="Z1040" s="147"/>
      <c r="AA1040" s="147"/>
      <c r="AB1040" s="147"/>
      <c r="AC1040" s="147"/>
      <c r="AD1040" s="147"/>
      <c r="AE1040" s="147"/>
      <c r="AF1040" s="147"/>
      <c r="AG1040" s="147"/>
      <c r="AH1040" s="147"/>
      <c r="AI1040" s="147"/>
      <c r="AJ1040" s="147"/>
      <c r="AK1040" s="147"/>
      <c r="AL1040" s="147"/>
      <c r="AM1040" s="147"/>
      <c r="AN1040" s="147"/>
      <c r="AO1040" s="147"/>
      <c r="AP1040" s="147"/>
      <c r="AQ1040" s="147"/>
      <c r="AR1040" s="147"/>
      <c r="AS1040" s="147"/>
      <c r="AT1040" s="147"/>
      <c r="AU1040" s="147"/>
      <c r="AV1040" s="147"/>
      <c r="AW1040" s="147"/>
      <c r="AX1040" s="147"/>
      <c r="AY1040" s="147"/>
      <c r="AZ1040" s="147"/>
      <c r="BA1040" s="147"/>
      <c r="BB1040" s="147"/>
      <c r="BC1040" s="147"/>
      <c r="BD1040" s="147"/>
      <c r="BE1040" s="147"/>
      <c r="BF1040" s="147"/>
      <c r="BG1040" s="147"/>
      <c r="BH1040" s="147"/>
      <c r="BI1040" s="147"/>
      <c r="BJ1040" s="147"/>
      <c r="BK1040" s="147"/>
      <c r="BL1040" s="147"/>
      <c r="BM1040" s="147"/>
      <c r="BN1040" s="147"/>
      <c r="BO1040" s="147"/>
      <c r="BP1040" s="147"/>
      <c r="BQ1040" s="147"/>
      <c r="BR1040" s="147"/>
      <c r="BS1040" s="147"/>
      <c r="BT1040" s="147"/>
      <c r="BU1040" s="147"/>
      <c r="BV1040" s="147"/>
      <c r="BW1040" s="147"/>
      <c r="BX1040" s="147"/>
      <c r="BY1040" s="147"/>
      <c r="BZ1040" s="147"/>
      <c r="CA1040" s="147"/>
      <c r="CB1040" s="147"/>
      <c r="CC1040" s="147"/>
      <c r="CD1040" s="147"/>
      <c r="CE1040" s="147"/>
      <c r="CF1040" s="147"/>
      <c r="CG1040" s="147"/>
      <c r="CH1040" s="147"/>
      <c r="CI1040" s="147"/>
      <c r="CJ1040" s="147"/>
      <c r="CK1040" s="147"/>
    </row>
    <row r="1041" spans="1:89">
      <c r="A1041" s="147"/>
      <c r="B1041" s="147"/>
      <c r="C1041" s="147"/>
      <c r="D1041" s="147"/>
      <c r="E1041" s="147"/>
      <c r="F1041" s="147"/>
      <c r="G1041" s="147"/>
      <c r="H1041" s="147"/>
      <c r="I1041" s="147"/>
      <c r="J1041" s="147"/>
      <c r="K1041" s="147"/>
      <c r="L1041" s="147"/>
      <c r="M1041" s="147"/>
      <c r="N1041" s="147"/>
      <c r="O1041" s="158"/>
      <c r="P1041" s="147"/>
      <c r="Q1041" s="147"/>
      <c r="R1041" s="147"/>
      <c r="S1041" s="147"/>
      <c r="T1041" s="147"/>
      <c r="U1041" s="147"/>
      <c r="V1041" s="147"/>
      <c r="W1041" s="147"/>
      <c r="X1041" s="147"/>
      <c r="Y1041" s="147"/>
      <c r="Z1041" s="147"/>
      <c r="AA1041" s="147"/>
      <c r="AB1041" s="147"/>
      <c r="AC1041" s="147"/>
      <c r="AD1041" s="147"/>
      <c r="AE1041" s="147"/>
      <c r="AF1041" s="147"/>
      <c r="AG1041" s="147"/>
      <c r="AH1041" s="147"/>
      <c r="AI1041" s="147"/>
      <c r="AJ1041" s="147"/>
      <c r="AK1041" s="147"/>
      <c r="AL1041" s="147"/>
      <c r="AM1041" s="147"/>
      <c r="AN1041" s="147"/>
      <c r="AO1041" s="147"/>
      <c r="AP1041" s="147"/>
      <c r="AQ1041" s="147"/>
      <c r="AR1041" s="147"/>
      <c r="AS1041" s="147"/>
      <c r="AT1041" s="147"/>
      <c r="AU1041" s="147"/>
      <c r="AV1041" s="147"/>
      <c r="AW1041" s="147"/>
      <c r="AX1041" s="147"/>
      <c r="AY1041" s="147"/>
      <c r="AZ1041" s="147"/>
      <c r="BA1041" s="147"/>
      <c r="BB1041" s="147"/>
      <c r="BC1041" s="147"/>
      <c r="BD1041" s="147"/>
      <c r="BE1041" s="147"/>
      <c r="BF1041" s="147"/>
      <c r="BG1041" s="147"/>
      <c r="BH1041" s="147"/>
      <c r="BI1041" s="147"/>
      <c r="BJ1041" s="147"/>
      <c r="BK1041" s="147"/>
      <c r="BL1041" s="147"/>
      <c r="BM1041" s="147"/>
      <c r="BN1041" s="147"/>
      <c r="BO1041" s="147"/>
      <c r="BP1041" s="147"/>
      <c r="BQ1041" s="147"/>
      <c r="BR1041" s="147"/>
      <c r="BS1041" s="147"/>
      <c r="BT1041" s="147"/>
      <c r="BU1041" s="147"/>
      <c r="BV1041" s="147"/>
      <c r="BW1041" s="147"/>
      <c r="BX1041" s="147"/>
      <c r="BY1041" s="147"/>
      <c r="BZ1041" s="147"/>
      <c r="CA1041" s="147"/>
      <c r="CB1041" s="147"/>
      <c r="CC1041" s="147"/>
      <c r="CD1041" s="147"/>
      <c r="CE1041" s="147"/>
      <c r="CF1041" s="147"/>
      <c r="CG1041" s="147"/>
      <c r="CH1041" s="147"/>
      <c r="CI1041" s="147"/>
      <c r="CJ1041" s="147"/>
      <c r="CK1041" s="147"/>
    </row>
    <row r="1042" spans="1:89">
      <c r="A1042" s="147"/>
      <c r="B1042" s="147"/>
      <c r="C1042" s="147"/>
      <c r="D1042" s="147"/>
      <c r="E1042" s="147"/>
      <c r="F1042" s="147"/>
      <c r="G1042" s="147"/>
      <c r="H1042" s="147"/>
      <c r="I1042" s="147"/>
      <c r="J1042" s="147"/>
      <c r="K1042" s="147"/>
      <c r="L1042" s="147"/>
      <c r="M1042" s="147"/>
      <c r="N1042" s="147"/>
      <c r="O1042" s="158"/>
      <c r="P1042" s="147"/>
      <c r="Q1042" s="147"/>
      <c r="R1042" s="147"/>
      <c r="S1042" s="147"/>
      <c r="T1042" s="147"/>
      <c r="U1042" s="147"/>
      <c r="V1042" s="147"/>
      <c r="W1042" s="147"/>
      <c r="X1042" s="147"/>
      <c r="Y1042" s="147"/>
      <c r="Z1042" s="147"/>
      <c r="AA1042" s="147"/>
      <c r="AB1042" s="147"/>
      <c r="AC1042" s="147"/>
      <c r="AD1042" s="147"/>
      <c r="AE1042" s="147"/>
      <c r="AF1042" s="147"/>
      <c r="AG1042" s="147"/>
      <c r="AH1042" s="147"/>
      <c r="AI1042" s="147"/>
      <c r="AJ1042" s="147"/>
      <c r="AK1042" s="147"/>
      <c r="AL1042" s="147"/>
      <c r="AM1042" s="147"/>
      <c r="AN1042" s="147"/>
      <c r="AO1042" s="147"/>
      <c r="AP1042" s="147"/>
      <c r="AQ1042" s="147"/>
      <c r="AR1042" s="147"/>
      <c r="AS1042" s="147"/>
      <c r="AT1042" s="147"/>
      <c r="AU1042" s="147"/>
      <c r="AV1042" s="147"/>
      <c r="AW1042" s="147"/>
      <c r="AX1042" s="147"/>
      <c r="AY1042" s="147"/>
      <c r="AZ1042" s="147"/>
      <c r="BA1042" s="147"/>
      <c r="BB1042" s="147"/>
      <c r="BC1042" s="147"/>
      <c r="BD1042" s="147"/>
      <c r="BE1042" s="147"/>
      <c r="BF1042" s="147"/>
      <c r="BG1042" s="147"/>
      <c r="BH1042" s="147"/>
      <c r="BI1042" s="147"/>
      <c r="BJ1042" s="147"/>
      <c r="BK1042" s="147"/>
      <c r="BL1042" s="147"/>
      <c r="BM1042" s="147"/>
      <c r="BN1042" s="147"/>
      <c r="BO1042" s="147"/>
      <c r="BP1042" s="147"/>
      <c r="BQ1042" s="147"/>
      <c r="BR1042" s="147"/>
      <c r="BS1042" s="147"/>
      <c r="BT1042" s="147"/>
      <c r="BU1042" s="147"/>
      <c r="BV1042" s="147"/>
      <c r="BW1042" s="147"/>
      <c r="BX1042" s="147"/>
      <c r="BY1042" s="147"/>
      <c r="BZ1042" s="147"/>
      <c r="CA1042" s="147"/>
      <c r="CB1042" s="147"/>
      <c r="CC1042" s="147"/>
      <c r="CD1042" s="147"/>
      <c r="CE1042" s="147"/>
      <c r="CF1042" s="147"/>
      <c r="CG1042" s="147"/>
      <c r="CH1042" s="147"/>
      <c r="CI1042" s="147"/>
      <c r="CJ1042" s="147"/>
      <c r="CK1042" s="147"/>
    </row>
    <row r="1043" spans="1:89">
      <c r="A1043" s="147"/>
      <c r="B1043" s="147"/>
      <c r="C1043" s="147"/>
      <c r="D1043" s="147"/>
      <c r="E1043" s="147"/>
      <c r="F1043" s="147"/>
      <c r="G1043" s="147"/>
      <c r="H1043" s="147"/>
      <c r="I1043" s="147"/>
      <c r="J1043" s="147"/>
      <c r="K1043" s="147"/>
      <c r="L1043" s="147"/>
      <c r="M1043" s="147"/>
      <c r="N1043" s="147"/>
      <c r="O1043" s="158"/>
      <c r="P1043" s="147"/>
      <c r="Q1043" s="147"/>
      <c r="R1043" s="147"/>
      <c r="S1043" s="147"/>
      <c r="T1043" s="147"/>
      <c r="U1043" s="147"/>
      <c r="V1043" s="147"/>
      <c r="W1043" s="147"/>
      <c r="X1043" s="147"/>
      <c r="Y1043" s="147"/>
      <c r="Z1043" s="147"/>
      <c r="AA1043" s="147"/>
      <c r="AB1043" s="147"/>
      <c r="AC1043" s="147"/>
      <c r="AD1043" s="147"/>
      <c r="AE1043" s="147"/>
      <c r="AF1043" s="147"/>
      <c r="AG1043" s="147"/>
      <c r="AH1043" s="147"/>
      <c r="AI1043" s="147"/>
      <c r="AJ1043" s="147"/>
      <c r="AK1043" s="147"/>
      <c r="AL1043" s="147"/>
      <c r="AM1043" s="147"/>
      <c r="AN1043" s="147"/>
      <c r="AO1043" s="147"/>
      <c r="AP1043" s="147"/>
      <c r="AQ1043" s="147"/>
      <c r="AR1043" s="147"/>
      <c r="AS1043" s="147"/>
      <c r="AT1043" s="147"/>
      <c r="AU1043" s="147"/>
      <c r="AV1043" s="147"/>
      <c r="AW1043" s="147"/>
      <c r="AX1043" s="147"/>
      <c r="AY1043" s="147"/>
      <c r="AZ1043" s="147"/>
      <c r="BA1043" s="147"/>
      <c r="BB1043" s="147"/>
      <c r="BC1043" s="147"/>
      <c r="BD1043" s="147"/>
      <c r="BE1043" s="147"/>
      <c r="BF1043" s="147"/>
      <c r="BG1043" s="147"/>
      <c r="BH1043" s="147"/>
      <c r="BI1043" s="147"/>
      <c r="BJ1043" s="147"/>
      <c r="BK1043" s="147"/>
      <c r="BL1043" s="147"/>
      <c r="BM1043" s="147"/>
      <c r="BN1043" s="147"/>
      <c r="BO1043" s="147"/>
      <c r="BP1043" s="147"/>
      <c r="BQ1043" s="147"/>
      <c r="BR1043" s="147"/>
      <c r="BS1043" s="147"/>
      <c r="BT1043" s="147"/>
      <c r="BU1043" s="147"/>
      <c r="BV1043" s="147"/>
      <c r="BW1043" s="147"/>
      <c r="BX1043" s="147"/>
      <c r="BY1043" s="147"/>
      <c r="BZ1043" s="147"/>
      <c r="CA1043" s="147"/>
      <c r="CB1043" s="147"/>
      <c r="CC1043" s="147"/>
      <c r="CD1043" s="147"/>
      <c r="CE1043" s="147"/>
      <c r="CF1043" s="147"/>
      <c r="CG1043" s="147"/>
      <c r="CH1043" s="147"/>
      <c r="CI1043" s="147"/>
      <c r="CJ1043" s="147"/>
      <c r="CK1043" s="147"/>
    </row>
    <row r="1044" spans="1:89">
      <c r="A1044" s="147"/>
      <c r="B1044" s="147"/>
      <c r="C1044" s="147"/>
      <c r="D1044" s="147"/>
      <c r="E1044" s="147"/>
      <c r="F1044" s="147"/>
      <c r="G1044" s="147"/>
      <c r="H1044" s="147"/>
      <c r="I1044" s="147"/>
      <c r="J1044" s="147"/>
      <c r="K1044" s="147"/>
      <c r="L1044" s="147"/>
      <c r="M1044" s="147"/>
      <c r="N1044" s="147"/>
      <c r="O1044" s="158"/>
      <c r="P1044" s="147"/>
      <c r="Q1044" s="147"/>
      <c r="R1044" s="147"/>
      <c r="S1044" s="147"/>
      <c r="T1044" s="147"/>
      <c r="U1044" s="147"/>
      <c r="V1044" s="147"/>
      <c r="W1044" s="147"/>
      <c r="X1044" s="147"/>
      <c r="Y1044" s="147"/>
      <c r="Z1044" s="147"/>
      <c r="AA1044" s="147"/>
      <c r="AB1044" s="147"/>
      <c r="AC1044" s="147"/>
      <c r="AD1044" s="147"/>
      <c r="AE1044" s="147"/>
      <c r="AF1044" s="147"/>
      <c r="AG1044" s="147"/>
      <c r="AH1044" s="147"/>
      <c r="AI1044" s="147"/>
      <c r="AJ1044" s="147"/>
      <c r="AK1044" s="147"/>
      <c r="AL1044" s="147"/>
      <c r="AM1044" s="147"/>
      <c r="AN1044" s="147"/>
      <c r="AO1044" s="147"/>
      <c r="AP1044" s="147"/>
      <c r="AQ1044" s="147"/>
      <c r="AR1044" s="147"/>
      <c r="AS1044" s="147"/>
      <c r="AT1044" s="147"/>
      <c r="AU1044" s="147"/>
      <c r="AV1044" s="147"/>
      <c r="AW1044" s="147"/>
      <c r="AX1044" s="147"/>
      <c r="AY1044" s="147"/>
      <c r="AZ1044" s="147"/>
      <c r="BA1044" s="147"/>
      <c r="BB1044" s="147"/>
      <c r="BC1044" s="147"/>
      <c r="BD1044" s="147"/>
      <c r="BE1044" s="147"/>
      <c r="BF1044" s="147"/>
      <c r="BG1044" s="147"/>
      <c r="BH1044" s="147"/>
      <c r="BI1044" s="147"/>
      <c r="BJ1044" s="147"/>
      <c r="BK1044" s="147"/>
      <c r="BL1044" s="147"/>
      <c r="BM1044" s="147"/>
      <c r="BN1044" s="147"/>
      <c r="BO1044" s="147"/>
      <c r="BP1044" s="147"/>
      <c r="BQ1044" s="147"/>
      <c r="BR1044" s="147"/>
      <c r="BS1044" s="147"/>
      <c r="BT1044" s="147"/>
      <c r="BU1044" s="147"/>
      <c r="BV1044" s="147"/>
      <c r="BW1044" s="147"/>
      <c r="BX1044" s="147"/>
      <c r="BY1044" s="147"/>
      <c r="BZ1044" s="147"/>
      <c r="CA1044" s="147"/>
      <c r="CB1044" s="147"/>
      <c r="CC1044" s="147"/>
      <c r="CD1044" s="147"/>
      <c r="CE1044" s="147"/>
      <c r="CF1044" s="147"/>
      <c r="CG1044" s="147"/>
      <c r="CH1044" s="147"/>
      <c r="CI1044" s="147"/>
      <c r="CJ1044" s="147"/>
      <c r="CK1044" s="147"/>
    </row>
    <row r="1045" spans="1:89">
      <c r="A1045" s="147"/>
      <c r="B1045" s="147"/>
      <c r="C1045" s="147"/>
      <c r="D1045" s="147"/>
      <c r="E1045" s="147"/>
      <c r="F1045" s="147"/>
      <c r="G1045" s="147"/>
      <c r="H1045" s="147"/>
      <c r="I1045" s="147"/>
      <c r="J1045" s="147"/>
      <c r="K1045" s="147"/>
      <c r="L1045" s="147"/>
      <c r="M1045" s="147"/>
      <c r="N1045" s="147"/>
      <c r="O1045" s="158"/>
      <c r="P1045" s="147"/>
      <c r="Q1045" s="147"/>
      <c r="R1045" s="147"/>
      <c r="S1045" s="147"/>
      <c r="T1045" s="147"/>
      <c r="U1045" s="147"/>
      <c r="V1045" s="147"/>
      <c r="W1045" s="147"/>
      <c r="X1045" s="147"/>
      <c r="Y1045" s="147"/>
      <c r="Z1045" s="147"/>
      <c r="AA1045" s="147"/>
      <c r="AB1045" s="147"/>
      <c r="AC1045" s="147"/>
      <c r="AD1045" s="147"/>
      <c r="AE1045" s="147"/>
      <c r="AF1045" s="147"/>
      <c r="AG1045" s="147"/>
      <c r="AH1045" s="147"/>
      <c r="AI1045" s="147"/>
      <c r="AJ1045" s="147"/>
      <c r="AK1045" s="147"/>
      <c r="AL1045" s="147"/>
      <c r="AM1045" s="147"/>
      <c r="AN1045" s="147"/>
      <c r="AO1045" s="147"/>
      <c r="AP1045" s="147"/>
      <c r="AQ1045" s="147"/>
      <c r="AR1045" s="147"/>
      <c r="AS1045" s="147"/>
      <c r="AT1045" s="147"/>
      <c r="AU1045" s="147"/>
      <c r="AV1045" s="147"/>
      <c r="AW1045" s="147"/>
      <c r="AX1045" s="147"/>
      <c r="AY1045" s="147"/>
      <c r="AZ1045" s="147"/>
      <c r="BA1045" s="147"/>
      <c r="BB1045" s="147"/>
      <c r="BC1045" s="147"/>
      <c r="BD1045" s="147"/>
      <c r="BE1045" s="147"/>
      <c r="BF1045" s="147"/>
      <c r="BG1045" s="147"/>
      <c r="BH1045" s="147"/>
      <c r="BI1045" s="147"/>
      <c r="BJ1045" s="147"/>
      <c r="BK1045" s="147"/>
      <c r="BL1045" s="147"/>
      <c r="BM1045" s="147"/>
      <c r="BN1045" s="147"/>
      <c r="BO1045" s="147"/>
      <c r="BP1045" s="147"/>
      <c r="BQ1045" s="147"/>
      <c r="BR1045" s="147"/>
      <c r="BS1045" s="147"/>
      <c r="BT1045" s="147"/>
      <c r="BU1045" s="147"/>
      <c r="BV1045" s="147"/>
      <c r="BW1045" s="147"/>
      <c r="BX1045" s="147"/>
      <c r="BY1045" s="147"/>
      <c r="BZ1045" s="147"/>
      <c r="CA1045" s="147"/>
      <c r="CB1045" s="147"/>
      <c r="CC1045" s="147"/>
      <c r="CD1045" s="147"/>
      <c r="CE1045" s="147"/>
      <c r="CF1045" s="147"/>
      <c r="CG1045" s="147"/>
      <c r="CH1045" s="147"/>
      <c r="CI1045" s="147"/>
      <c r="CJ1045" s="147"/>
      <c r="CK1045" s="147"/>
    </row>
    <row r="1046" spans="1:89">
      <c r="A1046" s="147"/>
      <c r="B1046" s="147"/>
      <c r="C1046" s="147"/>
      <c r="D1046" s="147"/>
      <c r="E1046" s="147"/>
      <c r="F1046" s="147"/>
      <c r="G1046" s="147"/>
      <c r="H1046" s="147"/>
      <c r="I1046" s="147"/>
      <c r="J1046" s="147"/>
      <c r="K1046" s="147"/>
      <c r="L1046" s="147"/>
      <c r="M1046" s="147"/>
      <c r="N1046" s="147"/>
      <c r="O1046" s="158"/>
      <c r="P1046" s="147"/>
      <c r="Q1046" s="147"/>
      <c r="R1046" s="147"/>
      <c r="S1046" s="147"/>
      <c r="T1046" s="147"/>
      <c r="U1046" s="147"/>
      <c r="V1046" s="147"/>
      <c r="W1046" s="147"/>
      <c r="X1046" s="147"/>
      <c r="Y1046" s="147"/>
      <c r="Z1046" s="147"/>
      <c r="AA1046" s="147"/>
      <c r="AB1046" s="147"/>
      <c r="AC1046" s="147"/>
      <c r="AD1046" s="147"/>
      <c r="AE1046" s="147"/>
      <c r="AF1046" s="147"/>
      <c r="AG1046" s="147"/>
      <c r="AH1046" s="147"/>
      <c r="AI1046" s="147"/>
      <c r="AJ1046" s="147"/>
      <c r="AK1046" s="147"/>
      <c r="AL1046" s="147"/>
      <c r="AM1046" s="147"/>
      <c r="AN1046" s="147"/>
      <c r="AO1046" s="147"/>
      <c r="AP1046" s="147"/>
      <c r="AQ1046" s="147"/>
      <c r="AR1046" s="147"/>
      <c r="AS1046" s="147"/>
      <c r="AT1046" s="147"/>
      <c r="AU1046" s="147"/>
      <c r="AV1046" s="147"/>
      <c r="AW1046" s="147"/>
      <c r="AX1046" s="147"/>
      <c r="AY1046" s="147"/>
      <c r="AZ1046" s="147"/>
      <c r="BA1046" s="147"/>
      <c r="BB1046" s="147"/>
      <c r="BC1046" s="147"/>
      <c r="BD1046" s="147"/>
      <c r="BE1046" s="147"/>
      <c r="BF1046" s="147"/>
      <c r="BG1046" s="147"/>
      <c r="BH1046" s="147"/>
      <c r="BI1046" s="147"/>
      <c r="BJ1046" s="147"/>
      <c r="BK1046" s="147"/>
      <c r="BL1046" s="147"/>
      <c r="BM1046" s="147"/>
      <c r="BN1046" s="147"/>
      <c r="BO1046" s="147"/>
      <c r="BP1046" s="147"/>
      <c r="BQ1046" s="147"/>
      <c r="BR1046" s="147"/>
      <c r="BS1046" s="147"/>
      <c r="BT1046" s="147"/>
      <c r="BU1046" s="147"/>
      <c r="BV1046" s="147"/>
      <c r="BW1046" s="147"/>
      <c r="BX1046" s="147"/>
      <c r="BY1046" s="147"/>
      <c r="BZ1046" s="147"/>
      <c r="CA1046" s="147"/>
      <c r="CB1046" s="147"/>
      <c r="CC1046" s="147"/>
      <c r="CD1046" s="147"/>
      <c r="CE1046" s="147"/>
      <c r="CF1046" s="147"/>
      <c r="CG1046" s="147"/>
      <c r="CH1046" s="147"/>
      <c r="CI1046" s="147"/>
      <c r="CJ1046" s="147"/>
      <c r="CK1046" s="147"/>
    </row>
    <row r="1047" spans="1:89">
      <c r="A1047" s="147"/>
      <c r="B1047" s="147"/>
      <c r="C1047" s="147"/>
      <c r="D1047" s="147"/>
      <c r="E1047" s="147"/>
      <c r="F1047" s="147"/>
      <c r="G1047" s="147"/>
      <c r="H1047" s="147"/>
      <c r="I1047" s="147"/>
      <c r="J1047" s="147"/>
      <c r="K1047" s="147"/>
      <c r="L1047" s="147"/>
      <c r="M1047" s="147"/>
      <c r="N1047" s="147"/>
      <c r="O1047" s="158"/>
      <c r="P1047" s="147"/>
      <c r="Q1047" s="147"/>
      <c r="R1047" s="147"/>
      <c r="S1047" s="147"/>
      <c r="T1047" s="147"/>
      <c r="U1047" s="147"/>
      <c r="V1047" s="147"/>
      <c r="W1047" s="147"/>
      <c r="X1047" s="147"/>
      <c r="Y1047" s="147"/>
      <c r="Z1047" s="147"/>
      <c r="AA1047" s="147"/>
      <c r="AB1047" s="147"/>
      <c r="AC1047" s="147"/>
      <c r="AD1047" s="147"/>
      <c r="AE1047" s="147"/>
      <c r="AF1047" s="147"/>
      <c r="AG1047" s="147"/>
      <c r="AH1047" s="147"/>
      <c r="AI1047" s="147"/>
      <c r="AJ1047" s="147"/>
      <c r="AK1047" s="147"/>
      <c r="AL1047" s="147"/>
      <c r="AM1047" s="147"/>
      <c r="AN1047" s="147"/>
      <c r="AO1047" s="147"/>
      <c r="AP1047" s="147"/>
      <c r="AQ1047" s="147"/>
      <c r="AR1047" s="147"/>
      <c r="AS1047" s="147"/>
      <c r="AT1047" s="147"/>
      <c r="AU1047" s="147"/>
      <c r="AV1047" s="147"/>
      <c r="AW1047" s="147"/>
      <c r="AX1047" s="147"/>
      <c r="AY1047" s="147"/>
      <c r="AZ1047" s="147"/>
      <c r="BA1047" s="147"/>
      <c r="BB1047" s="147"/>
      <c r="BC1047" s="147"/>
      <c r="BD1047" s="147"/>
      <c r="BE1047" s="147"/>
      <c r="BF1047" s="147"/>
      <c r="BG1047" s="147"/>
      <c r="BH1047" s="147"/>
      <c r="BI1047" s="147"/>
      <c r="BJ1047" s="147"/>
      <c r="BK1047" s="147"/>
      <c r="BL1047" s="147"/>
      <c r="BM1047" s="147"/>
      <c r="BN1047" s="147"/>
      <c r="BO1047" s="147"/>
      <c r="BP1047" s="147"/>
      <c r="BQ1047" s="147"/>
      <c r="BR1047" s="147"/>
      <c r="BS1047" s="147"/>
      <c r="BT1047" s="147"/>
      <c r="BU1047" s="147"/>
      <c r="BV1047" s="147"/>
      <c r="BW1047" s="147"/>
      <c r="BX1047" s="147"/>
      <c r="BY1047" s="147"/>
      <c r="BZ1047" s="147"/>
      <c r="CA1047" s="147"/>
      <c r="CB1047" s="147"/>
      <c r="CC1047" s="147"/>
      <c r="CD1047" s="147"/>
      <c r="CE1047" s="147"/>
      <c r="CF1047" s="147"/>
      <c r="CG1047" s="147"/>
      <c r="CH1047" s="147"/>
      <c r="CI1047" s="147"/>
      <c r="CJ1047" s="147"/>
      <c r="CK1047" s="147"/>
    </row>
    <row r="1048" spans="1:89">
      <c r="A1048" s="147"/>
      <c r="B1048" s="147"/>
      <c r="C1048" s="147"/>
      <c r="D1048" s="147"/>
      <c r="E1048" s="147"/>
      <c r="F1048" s="147"/>
      <c r="G1048" s="147"/>
      <c r="H1048" s="147"/>
      <c r="I1048" s="147"/>
      <c r="J1048" s="147"/>
      <c r="K1048" s="147"/>
      <c r="L1048" s="147"/>
      <c r="M1048" s="147"/>
      <c r="N1048" s="147"/>
      <c r="O1048" s="158"/>
      <c r="P1048" s="147"/>
      <c r="Q1048" s="147"/>
      <c r="R1048" s="147"/>
      <c r="S1048" s="147"/>
      <c r="T1048" s="147"/>
      <c r="U1048" s="147"/>
      <c r="V1048" s="147"/>
      <c r="W1048" s="147"/>
      <c r="X1048" s="147"/>
      <c r="Y1048" s="147"/>
      <c r="Z1048" s="147"/>
      <c r="AA1048" s="147"/>
      <c r="AB1048" s="147"/>
      <c r="AC1048" s="147"/>
      <c r="AD1048" s="147"/>
      <c r="AE1048" s="147"/>
      <c r="AF1048" s="147"/>
      <c r="AG1048" s="147"/>
      <c r="AH1048" s="147"/>
      <c r="AI1048" s="147"/>
      <c r="AJ1048" s="147"/>
      <c r="AK1048" s="147"/>
      <c r="AL1048" s="147"/>
      <c r="AM1048" s="147"/>
      <c r="AN1048" s="147"/>
      <c r="AO1048" s="147"/>
      <c r="AP1048" s="147"/>
      <c r="AQ1048" s="147"/>
      <c r="AR1048" s="147"/>
      <c r="AS1048" s="147"/>
      <c r="AT1048" s="147"/>
      <c r="AU1048" s="147"/>
      <c r="AV1048" s="147"/>
      <c r="AW1048" s="147"/>
      <c r="AX1048" s="147"/>
      <c r="AY1048" s="147"/>
      <c r="AZ1048" s="147"/>
      <c r="BA1048" s="147"/>
      <c r="BB1048" s="147"/>
      <c r="BC1048" s="147"/>
      <c r="BD1048" s="147"/>
      <c r="BE1048" s="147"/>
      <c r="BF1048" s="147"/>
      <c r="BG1048" s="147"/>
      <c r="BH1048" s="147"/>
      <c r="BI1048" s="147"/>
      <c r="BJ1048" s="147"/>
      <c r="BK1048" s="147"/>
      <c r="BL1048" s="147"/>
      <c r="BM1048" s="147"/>
      <c r="BN1048" s="147"/>
      <c r="BO1048" s="147"/>
      <c r="BP1048" s="147"/>
      <c r="BQ1048" s="147"/>
      <c r="BR1048" s="147"/>
      <c r="BS1048" s="147"/>
      <c r="BT1048" s="147"/>
      <c r="BU1048" s="147"/>
      <c r="BV1048" s="147"/>
      <c r="BW1048" s="147"/>
      <c r="BX1048" s="147"/>
      <c r="BY1048" s="147"/>
      <c r="BZ1048" s="147"/>
      <c r="CA1048" s="147"/>
      <c r="CB1048" s="147"/>
      <c r="CC1048" s="147"/>
      <c r="CD1048" s="147"/>
      <c r="CE1048" s="147"/>
      <c r="CF1048" s="147"/>
      <c r="CG1048" s="147"/>
      <c r="CH1048" s="147"/>
      <c r="CI1048" s="147"/>
      <c r="CJ1048" s="147"/>
      <c r="CK1048" s="147"/>
    </row>
    <row r="1049" spans="1:89">
      <c r="A1049" s="147"/>
      <c r="B1049" s="147"/>
      <c r="C1049" s="147"/>
      <c r="D1049" s="147"/>
      <c r="E1049" s="147"/>
      <c r="F1049" s="147"/>
      <c r="G1049" s="147"/>
      <c r="H1049" s="147"/>
      <c r="I1049" s="147"/>
      <c r="J1049" s="147"/>
      <c r="K1049" s="147"/>
      <c r="L1049" s="147"/>
      <c r="M1049" s="147"/>
      <c r="N1049" s="147"/>
      <c r="O1049" s="158"/>
      <c r="P1049" s="147"/>
      <c r="Q1049" s="147"/>
      <c r="R1049" s="147"/>
      <c r="S1049" s="147"/>
      <c r="T1049" s="147"/>
      <c r="U1049" s="147"/>
      <c r="V1049" s="147"/>
      <c r="W1049" s="147"/>
      <c r="X1049" s="147"/>
      <c r="Y1049" s="147"/>
      <c r="Z1049" s="147"/>
      <c r="AA1049" s="147"/>
      <c r="AB1049" s="147"/>
      <c r="AC1049" s="147"/>
      <c r="AD1049" s="147"/>
      <c r="AE1049" s="147"/>
      <c r="AF1049" s="147"/>
      <c r="AG1049" s="147"/>
      <c r="AH1049" s="147"/>
      <c r="AI1049" s="147"/>
      <c r="AJ1049" s="147"/>
      <c r="AK1049" s="147"/>
      <c r="AL1049" s="147"/>
      <c r="AM1049" s="147"/>
      <c r="AN1049" s="147"/>
      <c r="AO1049" s="147"/>
      <c r="AP1049" s="147"/>
      <c r="AQ1049" s="147"/>
      <c r="AR1049" s="147"/>
      <c r="AS1049" s="147"/>
      <c r="AT1049" s="147"/>
      <c r="AU1049" s="147"/>
      <c r="AV1049" s="147"/>
      <c r="AW1049" s="147"/>
      <c r="AX1049" s="147"/>
      <c r="AY1049" s="147"/>
      <c r="AZ1049" s="147"/>
      <c r="BA1049" s="147"/>
      <c r="BB1049" s="147"/>
      <c r="BC1049" s="147"/>
      <c r="BD1049" s="147"/>
      <c r="BE1049" s="147"/>
      <c r="BF1049" s="147"/>
      <c r="BG1049" s="147"/>
      <c r="BH1049" s="147"/>
      <c r="BI1049" s="147"/>
      <c r="BJ1049" s="147"/>
      <c r="BK1049" s="147"/>
      <c r="BL1049" s="147"/>
      <c r="BM1049" s="147"/>
      <c r="BN1049" s="147"/>
      <c r="BO1049" s="147"/>
      <c r="BP1049" s="147"/>
      <c r="BQ1049" s="147"/>
      <c r="BR1049" s="147"/>
      <c r="BS1049" s="147"/>
      <c r="BT1049" s="147"/>
      <c r="BU1049" s="147"/>
      <c r="BV1049" s="147"/>
      <c r="BW1049" s="147"/>
      <c r="BX1049" s="147"/>
      <c r="BY1049" s="147"/>
      <c r="BZ1049" s="147"/>
      <c r="CA1049" s="147"/>
      <c r="CB1049" s="147"/>
      <c r="CC1049" s="147"/>
      <c r="CD1049" s="147"/>
      <c r="CE1049" s="147"/>
      <c r="CF1049" s="147"/>
      <c r="CG1049" s="147"/>
      <c r="CH1049" s="147"/>
      <c r="CI1049" s="147"/>
      <c r="CJ1049" s="147"/>
      <c r="CK1049" s="147"/>
    </row>
    <row r="1050" spans="1:89">
      <c r="A1050" s="147"/>
      <c r="B1050" s="147"/>
      <c r="C1050" s="147"/>
      <c r="D1050" s="147"/>
      <c r="E1050" s="147"/>
      <c r="F1050" s="147"/>
      <c r="G1050" s="147"/>
      <c r="H1050" s="147"/>
      <c r="I1050" s="147"/>
      <c r="J1050" s="147"/>
      <c r="K1050" s="147"/>
      <c r="L1050" s="147"/>
      <c r="M1050" s="147"/>
      <c r="N1050" s="147"/>
      <c r="O1050" s="158"/>
      <c r="P1050" s="147"/>
      <c r="Q1050" s="147"/>
      <c r="R1050" s="147"/>
      <c r="S1050" s="147"/>
      <c r="T1050" s="147"/>
      <c r="U1050" s="147"/>
      <c r="V1050" s="147"/>
      <c r="W1050" s="147"/>
      <c r="X1050" s="147"/>
      <c r="Y1050" s="147"/>
      <c r="Z1050" s="147"/>
      <c r="AA1050" s="147"/>
      <c r="AB1050" s="147"/>
      <c r="AC1050" s="147"/>
      <c r="AD1050" s="147"/>
      <c r="AE1050" s="147"/>
      <c r="AF1050" s="147"/>
      <c r="AG1050" s="147"/>
      <c r="AH1050" s="147"/>
      <c r="AI1050" s="147"/>
      <c r="AJ1050" s="147"/>
      <c r="AK1050" s="147"/>
      <c r="AL1050" s="147"/>
      <c r="AM1050" s="147"/>
      <c r="AN1050" s="147"/>
      <c r="AO1050" s="147"/>
      <c r="AP1050" s="147"/>
      <c r="AQ1050" s="147"/>
      <c r="AR1050" s="147"/>
      <c r="AS1050" s="147"/>
      <c r="AT1050" s="147"/>
      <c r="AU1050" s="147"/>
      <c r="AV1050" s="147"/>
      <c r="AW1050" s="147"/>
      <c r="AX1050" s="147"/>
      <c r="AY1050" s="147"/>
      <c r="AZ1050" s="147"/>
      <c r="BA1050" s="147"/>
      <c r="BB1050" s="147"/>
      <c r="BC1050" s="147"/>
      <c r="BD1050" s="147"/>
      <c r="BE1050" s="147"/>
      <c r="BF1050" s="147"/>
      <c r="BG1050" s="147"/>
      <c r="BH1050" s="147"/>
      <c r="BI1050" s="147"/>
      <c r="BJ1050" s="147"/>
      <c r="BK1050" s="147"/>
      <c r="BL1050" s="147"/>
      <c r="BM1050" s="147"/>
      <c r="BN1050" s="147"/>
      <c r="BO1050" s="147"/>
      <c r="BP1050" s="147"/>
      <c r="BQ1050" s="147"/>
      <c r="BR1050" s="147"/>
      <c r="BS1050" s="147"/>
      <c r="BT1050" s="147"/>
      <c r="BU1050" s="147"/>
      <c r="BV1050" s="147"/>
      <c r="BW1050" s="147"/>
      <c r="BX1050" s="147"/>
      <c r="BY1050" s="147"/>
      <c r="BZ1050" s="147"/>
      <c r="CA1050" s="147"/>
      <c r="CB1050" s="147"/>
      <c r="CC1050" s="147"/>
      <c r="CD1050" s="147"/>
      <c r="CE1050" s="147"/>
      <c r="CF1050" s="147"/>
      <c r="CG1050" s="147"/>
      <c r="CH1050" s="147"/>
      <c r="CI1050" s="147"/>
      <c r="CJ1050" s="147"/>
      <c r="CK1050" s="147"/>
    </row>
    <row r="1051" spans="1:89">
      <c r="A1051" s="147"/>
      <c r="B1051" s="147"/>
      <c r="C1051" s="147"/>
      <c r="D1051" s="147"/>
      <c r="E1051" s="147"/>
      <c r="F1051" s="147"/>
      <c r="G1051" s="147"/>
      <c r="H1051" s="147"/>
      <c r="I1051" s="147"/>
      <c r="J1051" s="147"/>
      <c r="K1051" s="147"/>
      <c r="L1051" s="147"/>
      <c r="M1051" s="147"/>
      <c r="N1051" s="147"/>
      <c r="O1051" s="158"/>
      <c r="P1051" s="147"/>
      <c r="Q1051" s="147"/>
      <c r="R1051" s="147"/>
      <c r="S1051" s="147"/>
      <c r="T1051" s="147"/>
      <c r="U1051" s="147"/>
      <c r="V1051" s="147"/>
      <c r="W1051" s="147"/>
      <c r="X1051" s="147"/>
      <c r="Y1051" s="147"/>
      <c r="Z1051" s="147"/>
      <c r="AA1051" s="147"/>
      <c r="AB1051" s="147"/>
      <c r="AC1051" s="147"/>
      <c r="AD1051" s="147"/>
      <c r="AE1051" s="147"/>
      <c r="AF1051" s="147"/>
      <c r="AG1051" s="147"/>
      <c r="AH1051" s="147"/>
      <c r="AI1051" s="147"/>
      <c r="AJ1051" s="147"/>
      <c r="AK1051" s="147"/>
      <c r="AL1051" s="147"/>
      <c r="AM1051" s="147"/>
      <c r="AN1051" s="147"/>
      <c r="AO1051" s="147"/>
      <c r="AP1051" s="147"/>
      <c r="AQ1051" s="147"/>
      <c r="AR1051" s="147"/>
      <c r="AS1051" s="147"/>
      <c r="AT1051" s="147"/>
      <c r="AU1051" s="147"/>
      <c r="AV1051" s="147"/>
      <c r="AW1051" s="147"/>
      <c r="AX1051" s="147"/>
      <c r="AY1051" s="147"/>
      <c r="AZ1051" s="147"/>
      <c r="BA1051" s="147"/>
      <c r="BB1051" s="147"/>
      <c r="BC1051" s="147"/>
      <c r="BD1051" s="147"/>
      <c r="BE1051" s="147"/>
      <c r="BF1051" s="147"/>
      <c r="BG1051" s="147"/>
      <c r="BH1051" s="147"/>
      <c r="BI1051" s="147"/>
      <c r="BJ1051" s="147"/>
      <c r="BK1051" s="147"/>
      <c r="BL1051" s="147"/>
      <c r="BM1051" s="147"/>
      <c r="BN1051" s="147"/>
      <c r="BO1051" s="147"/>
      <c r="BP1051" s="147"/>
      <c r="BQ1051" s="147"/>
      <c r="BR1051" s="147"/>
      <c r="BS1051" s="147"/>
      <c r="BT1051" s="147"/>
      <c r="BU1051" s="147"/>
      <c r="BV1051" s="147"/>
      <c r="BW1051" s="147"/>
      <c r="BX1051" s="147"/>
      <c r="BY1051" s="147"/>
      <c r="BZ1051" s="147"/>
      <c r="CA1051" s="147"/>
      <c r="CB1051" s="147"/>
      <c r="CC1051" s="147"/>
      <c r="CD1051" s="147"/>
      <c r="CE1051" s="147"/>
      <c r="CF1051" s="147"/>
      <c r="CG1051" s="147"/>
      <c r="CH1051" s="147"/>
      <c r="CI1051" s="147"/>
      <c r="CJ1051" s="147"/>
      <c r="CK1051" s="147"/>
    </row>
    <row r="1052" spans="1:89">
      <c r="A1052" s="147"/>
      <c r="B1052" s="147"/>
      <c r="C1052" s="147"/>
      <c r="D1052" s="147"/>
      <c r="E1052" s="147"/>
      <c r="F1052" s="147"/>
      <c r="G1052" s="147"/>
      <c r="H1052" s="147"/>
      <c r="I1052" s="147"/>
      <c r="J1052" s="147"/>
      <c r="K1052" s="147"/>
      <c r="L1052" s="147"/>
      <c r="M1052" s="147"/>
      <c r="N1052" s="147"/>
      <c r="O1052" s="158"/>
      <c r="P1052" s="147"/>
      <c r="Q1052" s="147"/>
      <c r="R1052" s="147"/>
      <c r="S1052" s="147"/>
      <c r="T1052" s="147"/>
      <c r="U1052" s="147"/>
      <c r="V1052" s="147"/>
      <c r="W1052" s="147"/>
      <c r="X1052" s="147"/>
      <c r="Y1052" s="147"/>
      <c r="Z1052" s="147"/>
      <c r="AA1052" s="147"/>
      <c r="AB1052" s="147"/>
      <c r="AC1052" s="147"/>
      <c r="AD1052" s="147"/>
      <c r="AE1052" s="147"/>
      <c r="AF1052" s="147"/>
      <c r="AG1052" s="147"/>
      <c r="AH1052" s="147"/>
      <c r="AI1052" s="147"/>
      <c r="AJ1052" s="147"/>
      <c r="AK1052" s="147"/>
      <c r="AL1052" s="147"/>
      <c r="AM1052" s="147"/>
      <c r="AN1052" s="147"/>
      <c r="AO1052" s="147"/>
      <c r="AP1052" s="147"/>
      <c r="AQ1052" s="147"/>
      <c r="AR1052" s="147"/>
      <c r="AS1052" s="147"/>
      <c r="AT1052" s="147"/>
      <c r="AU1052" s="147"/>
      <c r="AV1052" s="147"/>
      <c r="AW1052" s="147"/>
      <c r="AX1052" s="147"/>
      <c r="AY1052" s="147"/>
      <c r="AZ1052" s="147"/>
      <c r="BA1052" s="147"/>
      <c r="BB1052" s="147"/>
      <c r="BC1052" s="147"/>
      <c r="BD1052" s="147"/>
      <c r="BE1052" s="147"/>
      <c r="BF1052" s="147"/>
      <c r="BG1052" s="147"/>
      <c r="BH1052" s="147"/>
      <c r="BI1052" s="147"/>
      <c r="BJ1052" s="147"/>
      <c r="BK1052" s="147"/>
      <c r="BL1052" s="147"/>
      <c r="BM1052" s="147"/>
      <c r="BN1052" s="147"/>
      <c r="BO1052" s="147"/>
      <c r="BP1052" s="147"/>
      <c r="BQ1052" s="147"/>
      <c r="BR1052" s="147"/>
      <c r="BS1052" s="147"/>
      <c r="BT1052" s="147"/>
      <c r="BU1052" s="147"/>
      <c r="BV1052" s="147"/>
      <c r="BW1052" s="147"/>
      <c r="BX1052" s="147"/>
      <c r="BY1052" s="147"/>
      <c r="BZ1052" s="147"/>
      <c r="CA1052" s="147"/>
      <c r="CB1052" s="147"/>
      <c r="CC1052" s="147"/>
      <c r="CD1052" s="147"/>
      <c r="CE1052" s="147"/>
      <c r="CF1052" s="147"/>
      <c r="CG1052" s="147"/>
      <c r="CH1052" s="147"/>
      <c r="CI1052" s="147"/>
      <c r="CJ1052" s="147"/>
      <c r="CK1052" s="147"/>
    </row>
    <row r="1053" spans="1:89">
      <c r="A1053" s="147"/>
      <c r="B1053" s="147"/>
      <c r="C1053" s="147"/>
      <c r="D1053" s="147"/>
      <c r="E1053" s="147"/>
      <c r="F1053" s="147"/>
      <c r="G1053" s="147"/>
      <c r="H1053" s="147"/>
      <c r="I1053" s="147"/>
      <c r="J1053" s="147"/>
      <c r="K1053" s="147"/>
      <c r="L1053" s="147"/>
      <c r="M1053" s="147"/>
      <c r="N1053" s="147"/>
      <c r="O1053" s="158"/>
      <c r="P1053" s="147"/>
      <c r="Q1053" s="147"/>
      <c r="R1053" s="147"/>
      <c r="S1053" s="147"/>
      <c r="T1053" s="147"/>
      <c r="U1053" s="147"/>
      <c r="V1053" s="147"/>
      <c r="W1053" s="147"/>
      <c r="X1053" s="147"/>
      <c r="Y1053" s="147"/>
      <c r="Z1053" s="147"/>
      <c r="AA1053" s="147"/>
      <c r="AB1053" s="147"/>
      <c r="AC1053" s="147"/>
      <c r="AD1053" s="147"/>
      <c r="AE1053" s="147"/>
      <c r="AF1053" s="147"/>
      <c r="AG1053" s="147"/>
      <c r="AH1053" s="147"/>
      <c r="AI1053" s="147"/>
      <c r="AJ1053" s="147"/>
      <c r="AK1053" s="147"/>
      <c r="AL1053" s="147"/>
      <c r="AM1053" s="147"/>
      <c r="AN1053" s="147"/>
      <c r="AO1053" s="147"/>
      <c r="AP1053" s="147"/>
      <c r="AQ1053" s="147"/>
      <c r="AR1053" s="147"/>
      <c r="AS1053" s="147"/>
      <c r="AT1053" s="147"/>
      <c r="AU1053" s="147"/>
      <c r="AV1053" s="147"/>
      <c r="AW1053" s="147"/>
      <c r="AX1053" s="147"/>
      <c r="AY1053" s="147"/>
      <c r="AZ1053" s="147"/>
      <c r="BA1053" s="147"/>
      <c r="BB1053" s="147"/>
      <c r="BC1053" s="147"/>
      <c r="BD1053" s="147"/>
      <c r="BE1053" s="147"/>
      <c r="BF1053" s="147"/>
      <c r="BG1053" s="147"/>
      <c r="BH1053" s="147"/>
      <c r="BI1053" s="147"/>
      <c r="BJ1053" s="147"/>
      <c r="BK1053" s="147"/>
      <c r="BL1053" s="147"/>
      <c r="BM1053" s="147"/>
      <c r="BN1053" s="147"/>
      <c r="BO1053" s="147"/>
      <c r="BP1053" s="147"/>
      <c r="BQ1053" s="147"/>
      <c r="BR1053" s="147"/>
      <c r="BS1053" s="147"/>
      <c r="BT1053" s="147"/>
      <c r="BU1053" s="147"/>
      <c r="BV1053" s="147"/>
      <c r="BW1053" s="147"/>
      <c r="BX1053" s="147"/>
      <c r="BY1053" s="147"/>
      <c r="BZ1053" s="147"/>
      <c r="CA1053" s="147"/>
      <c r="CB1053" s="147"/>
      <c r="CC1053" s="147"/>
      <c r="CD1053" s="147"/>
      <c r="CE1053" s="147"/>
      <c r="CF1053" s="147"/>
      <c r="CG1053" s="147"/>
      <c r="CH1053" s="147"/>
      <c r="CI1053" s="147"/>
      <c r="CJ1053" s="147"/>
      <c r="CK1053" s="147"/>
    </row>
    <row r="1054" spans="1:89">
      <c r="A1054" s="147"/>
      <c r="B1054" s="147"/>
      <c r="C1054" s="147"/>
      <c r="D1054" s="147"/>
      <c r="E1054" s="147"/>
      <c r="F1054" s="147"/>
      <c r="G1054" s="147"/>
      <c r="H1054" s="147"/>
      <c r="I1054" s="147"/>
      <c r="J1054" s="147"/>
      <c r="K1054" s="147"/>
      <c r="L1054" s="147"/>
      <c r="M1054" s="147"/>
      <c r="N1054" s="147"/>
      <c r="O1054" s="158"/>
      <c r="P1054" s="147"/>
      <c r="Q1054" s="147"/>
      <c r="R1054" s="147"/>
      <c r="S1054" s="147"/>
      <c r="T1054" s="147"/>
      <c r="U1054" s="147"/>
      <c r="V1054" s="147"/>
      <c r="W1054" s="147"/>
      <c r="X1054" s="147"/>
      <c r="Y1054" s="147"/>
      <c r="Z1054" s="147"/>
      <c r="AA1054" s="147"/>
      <c r="AB1054" s="147"/>
      <c r="AC1054" s="147"/>
      <c r="AD1054" s="147"/>
      <c r="AE1054" s="147"/>
      <c r="AF1054" s="147"/>
      <c r="AG1054" s="147"/>
      <c r="AH1054" s="147"/>
      <c r="AI1054" s="147"/>
      <c r="AJ1054" s="147"/>
      <c r="AK1054" s="147"/>
      <c r="AL1054" s="147"/>
      <c r="AM1054" s="147"/>
      <c r="AN1054" s="147"/>
      <c r="AO1054" s="147"/>
      <c r="AP1054" s="147"/>
      <c r="AQ1054" s="147"/>
      <c r="AR1054" s="147"/>
      <c r="AS1054" s="147"/>
      <c r="AT1054" s="147"/>
      <c r="AU1054" s="147"/>
      <c r="AV1054" s="147"/>
      <c r="AW1054" s="147"/>
      <c r="AX1054" s="147"/>
      <c r="AY1054" s="147"/>
      <c r="AZ1054" s="147"/>
      <c r="BA1054" s="147"/>
      <c r="BB1054" s="147"/>
      <c r="BC1054" s="147"/>
      <c r="BD1054" s="147"/>
      <c r="BE1054" s="147"/>
      <c r="BF1054" s="147"/>
      <c r="BG1054" s="147"/>
      <c r="BH1054" s="147"/>
      <c r="BI1054" s="147"/>
      <c r="BJ1054" s="147"/>
      <c r="BK1054" s="147"/>
      <c r="BL1054" s="147"/>
      <c r="BM1054" s="147"/>
      <c r="BN1054" s="147"/>
      <c r="BO1054" s="147"/>
      <c r="BP1054" s="147"/>
      <c r="BQ1054" s="147"/>
      <c r="BR1054" s="147"/>
      <c r="BS1054" s="147"/>
      <c r="BT1054" s="147"/>
      <c r="BU1054" s="147"/>
      <c r="BV1054" s="147"/>
      <c r="BW1054" s="147"/>
      <c r="BX1054" s="147"/>
      <c r="BY1054" s="147"/>
      <c r="BZ1054" s="147"/>
      <c r="CA1054" s="147"/>
      <c r="CB1054" s="147"/>
      <c r="CC1054" s="147"/>
      <c r="CD1054" s="147"/>
      <c r="CE1054" s="147"/>
      <c r="CF1054" s="147"/>
      <c r="CG1054" s="147"/>
      <c r="CH1054" s="147"/>
      <c r="CI1054" s="147"/>
      <c r="CJ1054" s="147"/>
      <c r="CK1054" s="147"/>
    </row>
    <row r="1055" spans="1:89">
      <c r="A1055" s="147"/>
      <c r="B1055" s="147"/>
      <c r="C1055" s="147"/>
      <c r="D1055" s="147"/>
      <c r="E1055" s="147"/>
      <c r="F1055" s="147"/>
      <c r="G1055" s="147"/>
      <c r="H1055" s="147"/>
      <c r="I1055" s="147"/>
      <c r="J1055" s="147"/>
      <c r="K1055" s="147"/>
      <c r="L1055" s="147"/>
      <c r="M1055" s="147"/>
      <c r="N1055" s="147"/>
      <c r="O1055" s="158"/>
      <c r="P1055" s="147"/>
      <c r="Q1055" s="147"/>
      <c r="R1055" s="147"/>
      <c r="S1055" s="147"/>
      <c r="T1055" s="147"/>
      <c r="U1055" s="147"/>
      <c r="V1055" s="147"/>
      <c r="W1055" s="147"/>
      <c r="X1055" s="147"/>
      <c r="Y1055" s="147"/>
      <c r="Z1055" s="147"/>
      <c r="AA1055" s="147"/>
      <c r="AB1055" s="147"/>
      <c r="AC1055" s="147"/>
      <c r="AD1055" s="147"/>
      <c r="AE1055" s="147"/>
      <c r="AF1055" s="147"/>
      <c r="AG1055" s="147"/>
      <c r="AH1055" s="147"/>
      <c r="AI1055" s="147"/>
      <c r="AJ1055" s="147"/>
      <c r="AK1055" s="147"/>
      <c r="AL1055" s="147"/>
      <c r="AM1055" s="147"/>
      <c r="AN1055" s="147"/>
      <c r="AO1055" s="147"/>
      <c r="AP1055" s="147"/>
      <c r="AQ1055" s="147"/>
      <c r="AR1055" s="147"/>
      <c r="AS1055" s="147"/>
      <c r="AT1055" s="147"/>
      <c r="AU1055" s="147"/>
      <c r="AV1055" s="147"/>
      <c r="AW1055" s="147"/>
      <c r="AX1055" s="147"/>
      <c r="AY1055" s="147"/>
      <c r="AZ1055" s="147"/>
      <c r="BA1055" s="147"/>
      <c r="BB1055" s="147"/>
      <c r="BC1055" s="147"/>
      <c r="BD1055" s="147"/>
      <c r="BE1055" s="147"/>
      <c r="BF1055" s="147"/>
      <c r="BG1055" s="147"/>
      <c r="BH1055" s="147"/>
      <c r="BI1055" s="147"/>
      <c r="BJ1055" s="147"/>
      <c r="BK1055" s="147"/>
      <c r="BL1055" s="147"/>
      <c r="BM1055" s="147"/>
      <c r="BN1055" s="147"/>
      <c r="BO1055" s="147"/>
      <c r="BP1055" s="147"/>
      <c r="BQ1055" s="147"/>
      <c r="BR1055" s="147"/>
      <c r="BS1055" s="147"/>
      <c r="BT1055" s="147"/>
      <c r="BU1055" s="147"/>
      <c r="BV1055" s="147"/>
      <c r="BW1055" s="147"/>
      <c r="BX1055" s="147"/>
      <c r="BY1055" s="147"/>
      <c r="BZ1055" s="147"/>
      <c r="CA1055" s="147"/>
      <c r="CB1055" s="147"/>
      <c r="CC1055" s="147"/>
      <c r="CD1055" s="147"/>
      <c r="CE1055" s="147"/>
      <c r="CF1055" s="147"/>
      <c r="CG1055" s="147"/>
      <c r="CH1055" s="147"/>
      <c r="CI1055" s="147"/>
      <c r="CJ1055" s="147"/>
      <c r="CK1055" s="147"/>
    </row>
    <row r="1056" spans="1:89">
      <c r="A1056" s="147"/>
      <c r="B1056" s="147"/>
      <c r="C1056" s="147"/>
      <c r="D1056" s="147"/>
      <c r="E1056" s="147"/>
      <c r="F1056" s="147"/>
      <c r="G1056" s="147"/>
      <c r="H1056" s="147"/>
      <c r="I1056" s="147"/>
      <c r="J1056" s="147"/>
      <c r="K1056" s="147"/>
      <c r="L1056" s="147"/>
      <c r="M1056" s="147"/>
      <c r="N1056" s="147"/>
      <c r="O1056" s="158"/>
      <c r="P1056" s="147"/>
      <c r="Q1056" s="147"/>
      <c r="R1056" s="147"/>
      <c r="S1056" s="147"/>
      <c r="T1056" s="147"/>
      <c r="U1056" s="147"/>
      <c r="V1056" s="147"/>
      <c r="W1056" s="147"/>
      <c r="X1056" s="147"/>
      <c r="Y1056" s="147"/>
      <c r="Z1056" s="147"/>
      <c r="AA1056" s="147"/>
      <c r="AB1056" s="147"/>
      <c r="AC1056" s="147"/>
      <c r="AD1056" s="147"/>
      <c r="AE1056" s="147"/>
      <c r="AF1056" s="147"/>
      <c r="AG1056" s="147"/>
      <c r="AH1056" s="147"/>
      <c r="AI1056" s="147"/>
      <c r="AJ1056" s="147"/>
      <c r="AK1056" s="147"/>
      <c r="AL1056" s="147"/>
      <c r="AM1056" s="147"/>
      <c r="AN1056" s="147"/>
      <c r="AO1056" s="147"/>
      <c r="AP1056" s="147"/>
      <c r="AQ1056" s="147"/>
      <c r="AR1056" s="147"/>
      <c r="AS1056" s="147"/>
      <c r="AT1056" s="147"/>
      <c r="AU1056" s="147"/>
      <c r="AV1056" s="147"/>
      <c r="AW1056" s="147"/>
      <c r="AX1056" s="147"/>
      <c r="AY1056" s="147"/>
      <c r="AZ1056" s="147"/>
      <c r="BA1056" s="147"/>
      <c r="BB1056" s="147"/>
      <c r="BC1056" s="147"/>
      <c r="BD1056" s="147"/>
      <c r="BE1056" s="147"/>
      <c r="BF1056" s="147"/>
      <c r="BG1056" s="147"/>
      <c r="BH1056" s="147"/>
      <c r="BI1056" s="147"/>
      <c r="BJ1056" s="147"/>
      <c r="BK1056" s="147"/>
      <c r="BL1056" s="147"/>
      <c r="BM1056" s="147"/>
      <c r="BN1056" s="147"/>
      <c r="BO1056" s="147"/>
      <c r="BP1056" s="147"/>
      <c r="BQ1056" s="147"/>
      <c r="BR1056" s="147"/>
      <c r="BS1056" s="147"/>
      <c r="BT1056" s="147"/>
      <c r="BU1056" s="147"/>
      <c r="BV1056" s="147"/>
      <c r="BW1056" s="147"/>
      <c r="BX1056" s="147"/>
      <c r="BY1056" s="147"/>
      <c r="BZ1056" s="147"/>
      <c r="CA1056" s="147"/>
      <c r="CB1056" s="147"/>
      <c r="CC1056" s="147"/>
      <c r="CD1056" s="147"/>
      <c r="CE1056" s="147"/>
      <c r="CF1056" s="147"/>
      <c r="CG1056" s="147"/>
      <c r="CH1056" s="147"/>
      <c r="CI1056" s="147"/>
      <c r="CJ1056" s="147"/>
      <c r="CK1056" s="147"/>
    </row>
    <row r="1057" spans="1:89">
      <c r="A1057" s="147"/>
      <c r="B1057" s="147"/>
      <c r="C1057" s="147"/>
      <c r="D1057" s="147"/>
      <c r="E1057" s="147"/>
      <c r="F1057" s="147"/>
      <c r="G1057" s="147"/>
      <c r="H1057" s="147"/>
      <c r="I1057" s="147"/>
      <c r="J1057" s="147"/>
      <c r="K1057" s="147"/>
      <c r="L1057" s="147"/>
      <c r="M1057" s="147"/>
      <c r="N1057" s="147"/>
      <c r="O1057" s="158"/>
      <c r="P1057" s="147"/>
      <c r="Q1057" s="147"/>
      <c r="R1057" s="147"/>
      <c r="S1057" s="147"/>
      <c r="T1057" s="147"/>
      <c r="U1057" s="147"/>
      <c r="V1057" s="147"/>
      <c r="W1057" s="147"/>
      <c r="X1057" s="147"/>
      <c r="Y1057" s="147"/>
      <c r="Z1057" s="147"/>
      <c r="AA1057" s="147"/>
      <c r="AB1057" s="147"/>
      <c r="AC1057" s="147"/>
      <c r="AD1057" s="147"/>
      <c r="AE1057" s="147"/>
      <c r="AF1057" s="147"/>
      <c r="AG1057" s="147"/>
      <c r="AH1057" s="147"/>
      <c r="AI1057" s="147"/>
      <c r="AJ1057" s="147"/>
      <c r="AK1057" s="147"/>
      <c r="AL1057" s="147"/>
      <c r="AM1057" s="147"/>
      <c r="AN1057" s="147"/>
      <c r="AO1057" s="147"/>
      <c r="AP1057" s="147"/>
      <c r="AQ1057" s="147"/>
      <c r="AR1057" s="147"/>
      <c r="AS1057" s="147"/>
      <c r="AT1057" s="147"/>
      <c r="AU1057" s="147"/>
      <c r="AV1057" s="147"/>
      <c r="AW1057" s="147"/>
      <c r="AX1057" s="147"/>
      <c r="AY1057" s="147"/>
      <c r="AZ1057" s="147"/>
      <c r="BA1057" s="147"/>
      <c r="BB1057" s="147"/>
      <c r="BC1057" s="147"/>
      <c r="BD1057" s="147"/>
      <c r="BE1057" s="147"/>
      <c r="BF1057" s="147"/>
      <c r="BG1057" s="147"/>
      <c r="BH1057" s="147"/>
      <c r="BI1057" s="147"/>
      <c r="BJ1057" s="147"/>
      <c r="BK1057" s="147"/>
      <c r="BL1057" s="147"/>
      <c r="BM1057" s="147"/>
      <c r="BN1057" s="147"/>
      <c r="BO1057" s="147"/>
      <c r="BP1057" s="147"/>
      <c r="BQ1057" s="147"/>
      <c r="BR1057" s="147"/>
      <c r="BS1057" s="147"/>
      <c r="BT1057" s="147"/>
      <c r="BU1057" s="147"/>
      <c r="BV1057" s="147"/>
      <c r="BW1057" s="147"/>
      <c r="BX1057" s="147"/>
      <c r="BY1057" s="147"/>
      <c r="BZ1057" s="147"/>
      <c r="CA1057" s="147"/>
      <c r="CB1057" s="147"/>
      <c r="CC1057" s="147"/>
      <c r="CD1057" s="147"/>
      <c r="CE1057" s="147"/>
      <c r="CF1057" s="147"/>
      <c r="CG1057" s="147"/>
      <c r="CH1057" s="147"/>
      <c r="CI1057" s="147"/>
      <c r="CJ1057" s="147"/>
      <c r="CK1057" s="147"/>
    </row>
    <row r="1058" spans="1:89">
      <c r="A1058" s="147"/>
      <c r="B1058" s="147"/>
      <c r="C1058" s="147"/>
      <c r="D1058" s="147"/>
      <c r="E1058" s="147"/>
      <c r="F1058" s="147"/>
      <c r="G1058" s="147"/>
      <c r="H1058" s="147"/>
      <c r="I1058" s="147"/>
      <c r="J1058" s="147"/>
      <c r="K1058" s="147"/>
      <c r="L1058" s="147"/>
      <c r="M1058" s="147"/>
      <c r="N1058" s="147"/>
      <c r="O1058" s="158"/>
      <c r="P1058" s="147"/>
      <c r="Q1058" s="147"/>
      <c r="R1058" s="147"/>
      <c r="S1058" s="147"/>
      <c r="T1058" s="147"/>
      <c r="U1058" s="147"/>
      <c r="V1058" s="147"/>
      <c r="W1058" s="147"/>
      <c r="X1058" s="147"/>
      <c r="Y1058" s="147"/>
      <c r="Z1058" s="147"/>
      <c r="AA1058" s="147"/>
      <c r="AB1058" s="147"/>
      <c r="AC1058" s="147"/>
      <c r="AD1058" s="147"/>
      <c r="AE1058" s="147"/>
      <c r="AF1058" s="147"/>
      <c r="AG1058" s="147"/>
      <c r="AH1058" s="147"/>
      <c r="AI1058" s="147"/>
      <c r="AJ1058" s="147"/>
      <c r="AK1058" s="147"/>
      <c r="AL1058" s="147"/>
      <c r="AM1058" s="147"/>
      <c r="AN1058" s="147"/>
      <c r="AO1058" s="147"/>
      <c r="AP1058" s="147"/>
      <c r="AQ1058" s="147"/>
      <c r="AR1058" s="147"/>
      <c r="AS1058" s="147"/>
      <c r="AT1058" s="147"/>
      <c r="AU1058" s="147"/>
      <c r="AV1058" s="147"/>
      <c r="AW1058" s="147"/>
      <c r="AX1058" s="147"/>
      <c r="AY1058" s="147"/>
      <c r="AZ1058" s="147"/>
      <c r="BA1058" s="147"/>
      <c r="BB1058" s="147"/>
      <c r="BC1058" s="147"/>
      <c r="BD1058" s="147"/>
      <c r="BE1058" s="147"/>
      <c r="BF1058" s="147"/>
      <c r="BG1058" s="147"/>
      <c r="BH1058" s="147"/>
      <c r="BI1058" s="147"/>
      <c r="BJ1058" s="147"/>
      <c r="BK1058" s="147"/>
      <c r="BL1058" s="147"/>
      <c r="BM1058" s="147"/>
      <c r="BN1058" s="147"/>
      <c r="BO1058" s="147"/>
      <c r="BP1058" s="147"/>
      <c r="BQ1058" s="147"/>
      <c r="BR1058" s="147"/>
      <c r="BS1058" s="147"/>
      <c r="BT1058" s="147"/>
      <c r="BU1058" s="147"/>
      <c r="BV1058" s="147"/>
      <c r="BW1058" s="147"/>
      <c r="BX1058" s="147"/>
      <c r="BY1058" s="147"/>
      <c r="BZ1058" s="147"/>
      <c r="CA1058" s="147"/>
      <c r="CB1058" s="147"/>
      <c r="CC1058" s="147"/>
      <c r="CD1058" s="147"/>
      <c r="CE1058" s="147"/>
      <c r="CF1058" s="147"/>
      <c r="CG1058" s="147"/>
      <c r="CH1058" s="147"/>
      <c r="CI1058" s="147"/>
      <c r="CJ1058" s="147"/>
      <c r="CK1058" s="147"/>
    </row>
    <row r="1059" spans="1:89">
      <c r="A1059" s="147"/>
      <c r="B1059" s="147"/>
      <c r="C1059" s="147"/>
      <c r="D1059" s="147"/>
      <c r="E1059" s="147"/>
      <c r="F1059" s="147"/>
      <c r="G1059" s="147"/>
      <c r="H1059" s="147"/>
      <c r="I1059" s="147"/>
      <c r="J1059" s="147"/>
      <c r="K1059" s="147"/>
      <c r="L1059" s="147"/>
      <c r="M1059" s="147"/>
      <c r="N1059" s="147"/>
      <c r="O1059" s="158"/>
      <c r="P1059" s="147"/>
      <c r="Q1059" s="147"/>
      <c r="R1059" s="147"/>
      <c r="S1059" s="147"/>
      <c r="T1059" s="147"/>
      <c r="U1059" s="147"/>
      <c r="V1059" s="147"/>
      <c r="W1059" s="147"/>
      <c r="X1059" s="147"/>
      <c r="Y1059" s="147"/>
      <c r="Z1059" s="147"/>
      <c r="AA1059" s="147"/>
      <c r="AB1059" s="147"/>
      <c r="AC1059" s="147"/>
      <c r="AD1059" s="147"/>
      <c r="AE1059" s="147"/>
      <c r="AF1059" s="147"/>
      <c r="AG1059" s="147"/>
      <c r="AH1059" s="147"/>
      <c r="AI1059" s="147"/>
      <c r="AJ1059" s="147"/>
      <c r="AK1059" s="147"/>
      <c r="AL1059" s="147"/>
      <c r="AM1059" s="147"/>
      <c r="AN1059" s="147"/>
      <c r="AO1059" s="147"/>
      <c r="AP1059" s="147"/>
      <c r="AQ1059" s="147"/>
      <c r="AR1059" s="147"/>
      <c r="AS1059" s="147"/>
      <c r="AT1059" s="147"/>
      <c r="AU1059" s="147"/>
      <c r="AV1059" s="147"/>
      <c r="AW1059" s="147"/>
      <c r="AX1059" s="147"/>
      <c r="AY1059" s="147"/>
      <c r="AZ1059" s="147"/>
      <c r="BA1059" s="147"/>
      <c r="BB1059" s="147"/>
      <c r="BC1059" s="147"/>
      <c r="BD1059" s="147"/>
      <c r="BE1059" s="147"/>
      <c r="BF1059" s="147"/>
      <c r="BG1059" s="147"/>
      <c r="BH1059" s="147"/>
      <c r="BI1059" s="147"/>
      <c r="BJ1059" s="147"/>
      <c r="BK1059" s="147"/>
      <c r="BL1059" s="147"/>
      <c r="BM1059" s="147"/>
      <c r="BN1059" s="147"/>
      <c r="BO1059" s="147"/>
      <c r="BP1059" s="147"/>
      <c r="BQ1059" s="147"/>
      <c r="BR1059" s="147"/>
      <c r="BS1059" s="147"/>
      <c r="BT1059" s="147"/>
      <c r="BU1059" s="147"/>
      <c r="BV1059" s="147"/>
      <c r="BW1059" s="147"/>
      <c r="BX1059" s="147"/>
      <c r="BY1059" s="147"/>
      <c r="BZ1059" s="147"/>
      <c r="CA1059" s="147"/>
      <c r="CB1059" s="147"/>
      <c r="CC1059" s="147"/>
      <c r="CD1059" s="147"/>
      <c r="CE1059" s="147"/>
      <c r="CF1059" s="147"/>
      <c r="CG1059" s="147"/>
      <c r="CH1059" s="147"/>
      <c r="CI1059" s="147"/>
      <c r="CJ1059" s="147"/>
      <c r="CK1059" s="147"/>
    </row>
    <row r="1060" spans="1:89">
      <c r="A1060" s="147"/>
      <c r="B1060" s="147"/>
      <c r="C1060" s="147"/>
      <c r="D1060" s="147"/>
      <c r="E1060" s="147"/>
      <c r="F1060" s="147"/>
      <c r="G1060" s="147"/>
      <c r="H1060" s="147"/>
      <c r="I1060" s="147"/>
      <c r="J1060" s="147"/>
      <c r="K1060" s="147"/>
      <c r="L1060" s="147"/>
      <c r="M1060" s="147"/>
      <c r="N1060" s="147"/>
      <c r="O1060" s="158"/>
      <c r="P1060" s="147"/>
      <c r="Q1060" s="147"/>
      <c r="R1060" s="147"/>
      <c r="S1060" s="147"/>
      <c r="T1060" s="147"/>
      <c r="U1060" s="147"/>
      <c r="V1060" s="147"/>
      <c r="W1060" s="147"/>
      <c r="X1060" s="147"/>
      <c r="Y1060" s="147"/>
      <c r="Z1060" s="147"/>
      <c r="AA1060" s="147"/>
      <c r="AB1060" s="147"/>
      <c r="AC1060" s="147"/>
      <c r="AD1060" s="147"/>
      <c r="AE1060" s="147"/>
      <c r="AF1060" s="147"/>
      <c r="AG1060" s="147"/>
      <c r="AH1060" s="147"/>
      <c r="AI1060" s="147"/>
      <c r="AJ1060" s="147"/>
      <c r="AK1060" s="147"/>
      <c r="AL1060" s="147"/>
      <c r="AM1060" s="147"/>
      <c r="AN1060" s="147"/>
      <c r="AO1060" s="147"/>
      <c r="AP1060" s="147"/>
      <c r="AQ1060" s="147"/>
      <c r="AR1060" s="147"/>
      <c r="AS1060" s="147"/>
      <c r="AT1060" s="147"/>
      <c r="AU1060" s="147"/>
      <c r="AV1060" s="147"/>
      <c r="AW1060" s="147"/>
      <c r="AX1060" s="147"/>
      <c r="AY1060" s="147"/>
      <c r="AZ1060" s="147"/>
      <c r="BA1060" s="147"/>
      <c r="BB1060" s="147"/>
      <c r="BC1060" s="147"/>
      <c r="BD1060" s="147"/>
      <c r="BE1060" s="147"/>
      <c r="BF1060" s="147"/>
      <c r="BG1060" s="147"/>
      <c r="BH1060" s="147"/>
      <c r="BI1060" s="147"/>
      <c r="BJ1060" s="147"/>
      <c r="BK1060" s="147"/>
      <c r="BL1060" s="147"/>
      <c r="BM1060" s="147"/>
      <c r="BN1060" s="147"/>
      <c r="BO1060" s="147"/>
      <c r="BP1060" s="147"/>
      <c r="BQ1060" s="147"/>
      <c r="BR1060" s="147"/>
      <c r="BS1060" s="147"/>
      <c r="BT1060" s="147"/>
      <c r="BU1060" s="147"/>
      <c r="BV1060" s="147"/>
      <c r="BW1060" s="147"/>
      <c r="BX1060" s="147"/>
      <c r="BY1060" s="147"/>
      <c r="BZ1060" s="147"/>
      <c r="CA1060" s="147"/>
      <c r="CB1060" s="147"/>
      <c r="CC1060" s="147"/>
      <c r="CD1060" s="147"/>
      <c r="CE1060" s="147"/>
      <c r="CF1060" s="147"/>
      <c r="CG1060" s="147"/>
      <c r="CH1060" s="147"/>
      <c r="CI1060" s="147"/>
      <c r="CJ1060" s="147"/>
      <c r="CK1060" s="147"/>
    </row>
    <row r="1061" spans="1:89">
      <c r="A1061" s="147"/>
      <c r="B1061" s="147"/>
      <c r="C1061" s="147"/>
      <c r="D1061" s="147"/>
      <c r="E1061" s="147"/>
      <c r="F1061" s="147"/>
      <c r="G1061" s="147"/>
      <c r="H1061" s="147"/>
      <c r="I1061" s="147"/>
      <c r="J1061" s="147"/>
      <c r="K1061" s="147"/>
      <c r="L1061" s="147"/>
      <c r="M1061" s="147"/>
      <c r="N1061" s="147"/>
      <c r="O1061" s="158"/>
      <c r="P1061" s="147"/>
      <c r="Q1061" s="147"/>
      <c r="R1061" s="147"/>
      <c r="S1061" s="147"/>
      <c r="T1061" s="147"/>
      <c r="U1061" s="147"/>
      <c r="V1061" s="147"/>
      <c r="W1061" s="147"/>
      <c r="X1061" s="147"/>
      <c r="Y1061" s="147"/>
      <c r="Z1061" s="147"/>
      <c r="AA1061" s="147"/>
      <c r="AB1061" s="147"/>
      <c r="AC1061" s="147"/>
      <c r="AD1061" s="147"/>
      <c r="AE1061" s="147"/>
      <c r="AF1061" s="147"/>
      <c r="AG1061" s="147"/>
      <c r="AH1061" s="147"/>
      <c r="AI1061" s="147"/>
      <c r="AJ1061" s="147"/>
      <c r="AK1061" s="147"/>
      <c r="AL1061" s="147"/>
      <c r="AM1061" s="147"/>
      <c r="AN1061" s="147"/>
      <c r="AO1061" s="147"/>
      <c r="AP1061" s="147"/>
      <c r="AQ1061" s="147"/>
      <c r="AR1061" s="147"/>
      <c r="AS1061" s="147"/>
      <c r="AT1061" s="147"/>
      <c r="AU1061" s="147"/>
      <c r="AV1061" s="147"/>
      <c r="AW1061" s="147"/>
      <c r="AX1061" s="147"/>
      <c r="AY1061" s="147"/>
      <c r="AZ1061" s="147"/>
      <c r="BA1061" s="147"/>
      <c r="BB1061" s="147"/>
      <c r="BC1061" s="147"/>
      <c r="BD1061" s="147"/>
      <c r="BE1061" s="147"/>
      <c r="BF1061" s="147"/>
      <c r="BG1061" s="147"/>
      <c r="BH1061" s="147"/>
      <c r="BI1061" s="147"/>
      <c r="BJ1061" s="147"/>
      <c r="BK1061" s="147"/>
      <c r="BL1061" s="147"/>
      <c r="BM1061" s="147"/>
      <c r="BN1061" s="147"/>
      <c r="BO1061" s="147"/>
      <c r="BP1061" s="147"/>
      <c r="BQ1061" s="147"/>
      <c r="BR1061" s="147"/>
      <c r="BS1061" s="147"/>
      <c r="BT1061" s="147"/>
      <c r="BU1061" s="147"/>
      <c r="BV1061" s="147"/>
      <c r="BW1061" s="147"/>
      <c r="BX1061" s="147"/>
      <c r="BY1061" s="147"/>
      <c r="BZ1061" s="147"/>
      <c r="CA1061" s="147"/>
      <c r="CB1061" s="147"/>
      <c r="CC1061" s="147"/>
      <c r="CD1061" s="147"/>
      <c r="CE1061" s="147"/>
      <c r="CF1061" s="147"/>
      <c r="CG1061" s="147"/>
      <c r="CH1061" s="147"/>
      <c r="CI1061" s="147"/>
      <c r="CJ1061" s="147"/>
      <c r="CK1061" s="147"/>
    </row>
    <row r="1062" spans="1:89">
      <c r="A1062" s="147"/>
      <c r="B1062" s="147"/>
      <c r="C1062" s="147"/>
      <c r="D1062" s="147"/>
      <c r="E1062" s="147"/>
      <c r="F1062" s="147"/>
      <c r="G1062" s="147"/>
      <c r="H1062" s="147"/>
      <c r="I1062" s="147"/>
      <c r="J1062" s="147"/>
      <c r="K1062" s="147"/>
      <c r="L1062" s="147"/>
      <c r="M1062" s="147"/>
      <c r="N1062" s="147"/>
      <c r="O1062" s="158"/>
      <c r="P1062" s="147"/>
      <c r="Q1062" s="147"/>
      <c r="R1062" s="147"/>
      <c r="S1062" s="147"/>
      <c r="T1062" s="147"/>
      <c r="U1062" s="147"/>
      <c r="V1062" s="147"/>
      <c r="W1062" s="147"/>
      <c r="X1062" s="147"/>
      <c r="Y1062" s="147"/>
      <c r="Z1062" s="147"/>
      <c r="AA1062" s="147"/>
      <c r="AB1062" s="147"/>
      <c r="AC1062" s="147"/>
      <c r="AD1062" s="147"/>
      <c r="AE1062" s="147"/>
      <c r="AF1062" s="147"/>
      <c r="AG1062" s="147"/>
      <c r="AH1062" s="147"/>
      <c r="AI1062" s="147"/>
      <c r="AJ1062" s="147"/>
      <c r="AK1062" s="147"/>
      <c r="AL1062" s="147"/>
      <c r="AM1062" s="147"/>
      <c r="AN1062" s="147"/>
      <c r="AO1062" s="147"/>
      <c r="AP1062" s="147"/>
      <c r="AQ1062" s="147"/>
      <c r="AR1062" s="147"/>
      <c r="AS1062" s="147"/>
      <c r="AT1062" s="147"/>
      <c r="AU1062" s="147"/>
      <c r="AV1062" s="147"/>
      <c r="AW1062" s="147"/>
      <c r="AX1062" s="147"/>
      <c r="AY1062" s="147"/>
      <c r="AZ1062" s="147"/>
      <c r="BA1062" s="147"/>
      <c r="BB1062" s="147"/>
      <c r="BC1062" s="147"/>
      <c r="BD1062" s="147"/>
      <c r="BE1062" s="147"/>
      <c r="BF1062" s="147"/>
      <c r="BG1062" s="147"/>
      <c r="BH1062" s="147"/>
      <c r="BI1062" s="147"/>
      <c r="BJ1062" s="147"/>
      <c r="BK1062" s="147"/>
      <c r="BL1062" s="147"/>
      <c r="BM1062" s="147"/>
      <c r="BN1062" s="147"/>
      <c r="BO1062" s="147"/>
      <c r="BP1062" s="147"/>
      <c r="BQ1062" s="147"/>
      <c r="BR1062" s="147"/>
      <c r="BS1062" s="147"/>
      <c r="BT1062" s="147"/>
      <c r="BU1062" s="147"/>
      <c r="BV1062" s="147"/>
      <c r="BW1062" s="147"/>
      <c r="BX1062" s="147"/>
      <c r="BY1062" s="147"/>
      <c r="BZ1062" s="147"/>
      <c r="CA1062" s="147"/>
      <c r="CB1062" s="147"/>
      <c r="CC1062" s="147"/>
      <c r="CD1062" s="147"/>
      <c r="CE1062" s="147"/>
      <c r="CF1062" s="147"/>
      <c r="CG1062" s="147"/>
      <c r="CH1062" s="147"/>
      <c r="CI1062" s="147"/>
      <c r="CJ1062" s="147"/>
      <c r="CK1062" s="147"/>
    </row>
    <row r="1063" spans="1:89">
      <c r="A1063" s="147"/>
      <c r="B1063" s="147"/>
      <c r="C1063" s="147"/>
      <c r="D1063" s="147"/>
      <c r="E1063" s="147"/>
      <c r="F1063" s="147"/>
      <c r="G1063" s="147"/>
      <c r="H1063" s="147"/>
      <c r="I1063" s="147"/>
      <c r="J1063" s="147"/>
      <c r="K1063" s="147"/>
      <c r="L1063" s="147"/>
      <c r="M1063" s="147"/>
      <c r="N1063" s="147"/>
      <c r="O1063" s="158"/>
      <c r="P1063" s="147"/>
      <c r="Q1063" s="147"/>
      <c r="R1063" s="147"/>
      <c r="S1063" s="147"/>
      <c r="T1063" s="147"/>
      <c r="U1063" s="147"/>
      <c r="V1063" s="147"/>
      <c r="W1063" s="147"/>
      <c r="X1063" s="147"/>
      <c r="Y1063" s="147"/>
      <c r="Z1063" s="147"/>
      <c r="AA1063" s="147"/>
      <c r="AB1063" s="147"/>
      <c r="AC1063" s="147"/>
      <c r="AD1063" s="147"/>
      <c r="AE1063" s="147"/>
      <c r="AF1063" s="147"/>
      <c r="AG1063" s="147"/>
      <c r="AH1063" s="147"/>
      <c r="AI1063" s="147"/>
      <c r="AJ1063" s="147"/>
      <c r="AK1063" s="147"/>
      <c r="AL1063" s="147"/>
      <c r="AM1063" s="147"/>
      <c r="AN1063" s="147"/>
      <c r="AO1063" s="147"/>
      <c r="AP1063" s="147"/>
      <c r="AQ1063" s="147"/>
      <c r="AR1063" s="147"/>
      <c r="AS1063" s="147"/>
      <c r="AT1063" s="147"/>
      <c r="AU1063" s="147"/>
      <c r="AV1063" s="147"/>
      <c r="AW1063" s="147"/>
      <c r="AX1063" s="147"/>
      <c r="AY1063" s="147"/>
      <c r="AZ1063" s="147"/>
      <c r="BA1063" s="147"/>
      <c r="BB1063" s="147"/>
      <c r="BC1063" s="147"/>
      <c r="BD1063" s="147"/>
      <c r="BE1063" s="147"/>
      <c r="BF1063" s="147"/>
      <c r="BG1063" s="147"/>
      <c r="BH1063" s="147"/>
      <c r="BI1063" s="147"/>
      <c r="BJ1063" s="147"/>
      <c r="BK1063" s="147"/>
      <c r="BL1063" s="147"/>
      <c r="BM1063" s="147"/>
      <c r="BN1063" s="147"/>
      <c r="BO1063" s="147"/>
      <c r="BP1063" s="147"/>
      <c r="BQ1063" s="147"/>
      <c r="BR1063" s="147"/>
      <c r="BS1063" s="147"/>
      <c r="BT1063" s="147"/>
      <c r="BU1063" s="147"/>
      <c r="BV1063" s="147"/>
      <c r="BW1063" s="147"/>
      <c r="BX1063" s="147"/>
      <c r="BY1063" s="147"/>
      <c r="BZ1063" s="147"/>
      <c r="CA1063" s="147"/>
      <c r="CB1063" s="147"/>
      <c r="CC1063" s="147"/>
      <c r="CD1063" s="147"/>
      <c r="CE1063" s="147"/>
      <c r="CF1063" s="147"/>
      <c r="CG1063" s="147"/>
      <c r="CH1063" s="147"/>
      <c r="CI1063" s="147"/>
      <c r="CJ1063" s="147"/>
      <c r="CK1063" s="147"/>
    </row>
    <row r="1064" spans="1:89">
      <c r="A1064" s="147"/>
      <c r="B1064" s="147"/>
      <c r="C1064" s="147"/>
      <c r="D1064" s="147"/>
      <c r="E1064" s="147"/>
      <c r="F1064" s="147"/>
      <c r="G1064" s="147"/>
      <c r="H1064" s="147"/>
      <c r="I1064" s="147"/>
      <c r="J1064" s="147"/>
      <c r="K1064" s="147"/>
      <c r="L1064" s="147"/>
      <c r="M1064" s="147"/>
      <c r="N1064" s="147"/>
      <c r="O1064" s="158"/>
      <c r="P1064" s="147"/>
      <c r="Q1064" s="147"/>
      <c r="R1064" s="147"/>
      <c r="S1064" s="147"/>
      <c r="T1064" s="147"/>
      <c r="U1064" s="147"/>
      <c r="V1064" s="147"/>
      <c r="W1064" s="147"/>
      <c r="X1064" s="147"/>
      <c r="Y1064" s="147"/>
      <c r="Z1064" s="147"/>
      <c r="AA1064" s="147"/>
      <c r="AB1064" s="147"/>
      <c r="AC1064" s="147"/>
      <c r="AD1064" s="147"/>
      <c r="AE1064" s="147"/>
      <c r="AF1064" s="147"/>
      <c r="AG1064" s="147"/>
      <c r="AH1064" s="147"/>
      <c r="AI1064" s="147"/>
      <c r="AJ1064" s="147"/>
      <c r="AK1064" s="147"/>
      <c r="AL1064" s="147"/>
      <c r="AM1064" s="147"/>
      <c r="AN1064" s="147"/>
      <c r="AO1064" s="147"/>
      <c r="AP1064" s="147"/>
      <c r="AQ1064" s="147"/>
      <c r="AR1064" s="147"/>
      <c r="AS1064" s="147"/>
      <c r="AT1064" s="147"/>
      <c r="AU1064" s="147"/>
      <c r="AV1064" s="147"/>
      <c r="AW1064" s="147"/>
      <c r="AX1064" s="147"/>
      <c r="AY1064" s="147"/>
      <c r="AZ1064" s="147"/>
      <c r="BA1064" s="147"/>
      <c r="BB1064" s="147"/>
      <c r="BC1064" s="147"/>
      <c r="BD1064" s="147"/>
      <c r="BE1064" s="147"/>
      <c r="BF1064" s="147"/>
      <c r="BG1064" s="147"/>
      <c r="BH1064" s="147"/>
      <c r="BI1064" s="147"/>
      <c r="BJ1064" s="147"/>
      <c r="BK1064" s="147"/>
      <c r="BL1064" s="147"/>
      <c r="BM1064" s="147"/>
      <c r="BN1064" s="147"/>
      <c r="BO1064" s="147"/>
      <c r="BP1064" s="147"/>
      <c r="BQ1064" s="147"/>
      <c r="BR1064" s="147"/>
      <c r="BS1064" s="147"/>
      <c r="BT1064" s="147"/>
      <c r="BU1064" s="147"/>
      <c r="BV1064" s="147"/>
      <c r="BW1064" s="147"/>
      <c r="BX1064" s="147"/>
      <c r="BY1064" s="147"/>
      <c r="BZ1064" s="147"/>
      <c r="CA1064" s="147"/>
      <c r="CB1064" s="147"/>
      <c r="CC1064" s="147"/>
      <c r="CD1064" s="147"/>
      <c r="CE1064" s="147"/>
      <c r="CF1064" s="147"/>
      <c r="CG1064" s="147"/>
      <c r="CH1064" s="147"/>
      <c r="CI1064" s="147"/>
      <c r="CJ1064" s="147"/>
      <c r="CK1064" s="147"/>
    </row>
    <row r="1065" spans="1:89">
      <c r="A1065" s="147"/>
      <c r="B1065" s="147"/>
      <c r="C1065" s="147"/>
      <c r="D1065" s="147"/>
      <c r="E1065" s="147"/>
      <c r="F1065" s="147"/>
      <c r="G1065" s="147"/>
      <c r="H1065" s="147"/>
      <c r="I1065" s="147"/>
      <c r="J1065" s="147"/>
      <c r="K1065" s="147"/>
      <c r="L1065" s="147"/>
      <c r="M1065" s="147"/>
      <c r="N1065" s="147"/>
      <c r="O1065" s="158"/>
      <c r="P1065" s="147"/>
      <c r="Q1065" s="147"/>
      <c r="R1065" s="147"/>
      <c r="S1065" s="147"/>
      <c r="T1065" s="147"/>
      <c r="U1065" s="147"/>
      <c r="V1065" s="147"/>
      <c r="W1065" s="147"/>
      <c r="X1065" s="147"/>
      <c r="Y1065" s="147"/>
      <c r="Z1065" s="147"/>
      <c r="AA1065" s="147"/>
      <c r="AB1065" s="147"/>
      <c r="AC1065" s="147"/>
      <c r="AD1065" s="147"/>
      <c r="AE1065" s="147"/>
      <c r="AF1065" s="147"/>
      <c r="AG1065" s="147"/>
      <c r="AH1065" s="147"/>
      <c r="AI1065" s="147"/>
      <c r="AJ1065" s="147"/>
      <c r="AK1065" s="147"/>
      <c r="AL1065" s="147"/>
      <c r="AM1065" s="147"/>
      <c r="AN1065" s="147"/>
      <c r="AO1065" s="147"/>
      <c r="AP1065" s="147"/>
      <c r="AQ1065" s="147"/>
      <c r="AR1065" s="147"/>
      <c r="AS1065" s="147"/>
      <c r="AT1065" s="147"/>
      <c r="AU1065" s="147"/>
      <c r="AV1065" s="147"/>
      <c r="AW1065" s="147"/>
      <c r="AX1065" s="147"/>
      <c r="AY1065" s="147"/>
      <c r="AZ1065" s="147"/>
      <c r="BA1065" s="147"/>
      <c r="BB1065" s="147"/>
      <c r="BC1065" s="147"/>
      <c r="BD1065" s="147"/>
      <c r="BE1065" s="147"/>
      <c r="BF1065" s="147"/>
      <c r="BG1065" s="147"/>
      <c r="BH1065" s="147"/>
      <c r="BI1065" s="147"/>
      <c r="BJ1065" s="147"/>
      <c r="BK1065" s="147"/>
      <c r="BL1065" s="147"/>
      <c r="BM1065" s="147"/>
      <c r="BN1065" s="147"/>
      <c r="BO1065" s="147"/>
      <c r="BP1065" s="147"/>
      <c r="BQ1065" s="147"/>
      <c r="BR1065" s="147"/>
      <c r="BS1065" s="147"/>
      <c r="BT1065" s="147"/>
      <c r="BU1065" s="147"/>
      <c r="BV1065" s="147"/>
      <c r="BW1065" s="147"/>
      <c r="BX1065" s="147"/>
      <c r="BY1065" s="147"/>
      <c r="BZ1065" s="147"/>
      <c r="CA1065" s="147"/>
      <c r="CB1065" s="147"/>
      <c r="CC1065" s="147"/>
      <c r="CD1065" s="147"/>
      <c r="CE1065" s="147"/>
      <c r="CF1065" s="147"/>
      <c r="CG1065" s="147"/>
      <c r="CH1065" s="147"/>
      <c r="CI1065" s="147"/>
      <c r="CJ1065" s="147"/>
      <c r="CK1065" s="147"/>
    </row>
    <row r="1066" spans="1:89">
      <c r="A1066" s="147"/>
      <c r="B1066" s="147"/>
      <c r="C1066" s="147"/>
      <c r="D1066" s="147"/>
      <c r="E1066" s="147"/>
      <c r="F1066" s="147"/>
      <c r="G1066" s="147"/>
      <c r="H1066" s="147"/>
      <c r="I1066" s="147"/>
      <c r="J1066" s="147"/>
      <c r="K1066" s="147"/>
      <c r="L1066" s="147"/>
      <c r="M1066" s="147"/>
      <c r="N1066" s="147"/>
      <c r="O1066" s="158"/>
      <c r="P1066" s="147"/>
      <c r="Q1066" s="147"/>
      <c r="R1066" s="147"/>
      <c r="S1066" s="147"/>
      <c r="T1066" s="147"/>
      <c r="U1066" s="147"/>
      <c r="V1066" s="147"/>
      <c r="W1066" s="147"/>
      <c r="X1066" s="147"/>
      <c r="Y1066" s="147"/>
      <c r="Z1066" s="147"/>
      <c r="AA1066" s="147"/>
      <c r="AB1066" s="147"/>
      <c r="AC1066" s="147"/>
      <c r="AD1066" s="147"/>
      <c r="AE1066" s="147"/>
      <c r="AF1066" s="147"/>
      <c r="AG1066" s="147"/>
      <c r="AH1066" s="147"/>
      <c r="AI1066" s="147"/>
      <c r="AJ1066" s="147"/>
      <c r="AK1066" s="147"/>
      <c r="AL1066" s="147"/>
      <c r="AM1066" s="147"/>
      <c r="AN1066" s="147"/>
      <c r="AO1066" s="147"/>
      <c r="AP1066" s="147"/>
      <c r="AQ1066" s="147"/>
      <c r="AR1066" s="147"/>
      <c r="AS1066" s="147"/>
      <c r="AT1066" s="147"/>
      <c r="AU1066" s="147"/>
      <c r="AV1066" s="147"/>
      <c r="AW1066" s="147"/>
      <c r="AX1066" s="147"/>
      <c r="AY1066" s="147"/>
      <c r="AZ1066" s="147"/>
      <c r="BA1066" s="147"/>
      <c r="BB1066" s="147"/>
      <c r="BC1066" s="147"/>
      <c r="BD1066" s="147"/>
      <c r="BE1066" s="147"/>
      <c r="BF1066" s="147"/>
      <c r="BG1066" s="147"/>
      <c r="BH1066" s="147"/>
      <c r="BI1066" s="147"/>
      <c r="BJ1066" s="147"/>
      <c r="BK1066" s="147"/>
      <c r="BL1066" s="147"/>
      <c r="BM1066" s="147"/>
      <c r="BN1066" s="147"/>
      <c r="BO1066" s="147"/>
      <c r="BP1066" s="147"/>
      <c r="BQ1066" s="147"/>
      <c r="BR1066" s="147"/>
      <c r="BS1066" s="147"/>
      <c r="BT1066" s="147"/>
      <c r="BU1066" s="147"/>
      <c r="BV1066" s="147"/>
      <c r="BW1066" s="147"/>
      <c r="BX1066" s="147"/>
      <c r="BY1066" s="147"/>
      <c r="BZ1066" s="147"/>
      <c r="CA1066" s="147"/>
      <c r="CB1066" s="147"/>
      <c r="CC1066" s="147"/>
      <c r="CD1066" s="147"/>
      <c r="CE1066" s="147"/>
      <c r="CF1066" s="147"/>
      <c r="CG1066" s="147"/>
      <c r="CH1066" s="147"/>
      <c r="CI1066" s="147"/>
      <c r="CJ1066" s="147"/>
      <c r="CK1066" s="147"/>
    </row>
    <row r="1067" spans="1:89">
      <c r="A1067" s="147"/>
      <c r="B1067" s="147"/>
      <c r="C1067" s="147"/>
      <c r="D1067" s="147"/>
      <c r="E1067" s="147"/>
      <c r="F1067" s="147"/>
      <c r="G1067" s="147"/>
      <c r="H1067" s="147"/>
      <c r="I1067" s="147"/>
      <c r="J1067" s="147"/>
      <c r="K1067" s="147"/>
      <c r="L1067" s="147"/>
      <c r="M1067" s="147"/>
      <c r="N1067" s="147"/>
      <c r="O1067" s="158"/>
      <c r="P1067" s="147"/>
      <c r="Q1067" s="147"/>
      <c r="R1067" s="147"/>
      <c r="S1067" s="147"/>
      <c r="T1067" s="147"/>
      <c r="U1067" s="147"/>
      <c r="V1067" s="147"/>
      <c r="W1067" s="147"/>
      <c r="X1067" s="147"/>
      <c r="Y1067" s="147"/>
      <c r="Z1067" s="147"/>
      <c r="AA1067" s="147"/>
      <c r="AB1067" s="147"/>
      <c r="AC1067" s="147"/>
      <c r="AD1067" s="147"/>
      <c r="AE1067" s="147"/>
      <c r="AF1067" s="147"/>
      <c r="AG1067" s="147"/>
      <c r="AH1067" s="147"/>
      <c r="AI1067" s="147"/>
      <c r="AJ1067" s="147"/>
      <c r="AK1067" s="147"/>
      <c r="AL1067" s="147"/>
      <c r="AM1067" s="147"/>
      <c r="AN1067" s="147"/>
      <c r="AO1067" s="147"/>
      <c r="AP1067" s="147"/>
      <c r="AQ1067" s="147"/>
      <c r="AR1067" s="147"/>
      <c r="AS1067" s="147"/>
      <c r="AT1067" s="147"/>
      <c r="AU1067" s="147"/>
      <c r="AV1067" s="147"/>
      <c r="AW1067" s="147"/>
      <c r="AX1067" s="147"/>
      <c r="AY1067" s="147"/>
      <c r="AZ1067" s="147"/>
      <c r="BA1067" s="147"/>
      <c r="BB1067" s="147"/>
      <c r="BC1067" s="147"/>
      <c r="BD1067" s="147"/>
      <c r="BE1067" s="147"/>
      <c r="BF1067" s="147"/>
      <c r="BG1067" s="147"/>
      <c r="BH1067" s="147"/>
      <c r="BI1067" s="147"/>
      <c r="BJ1067" s="147"/>
      <c r="BK1067" s="147"/>
      <c r="BL1067" s="147"/>
      <c r="BM1067" s="147"/>
      <c r="BN1067" s="147"/>
      <c r="BO1067" s="147"/>
      <c r="BP1067" s="147"/>
      <c r="BQ1067" s="147"/>
      <c r="BR1067" s="147"/>
      <c r="BS1067" s="147"/>
      <c r="BT1067" s="147"/>
      <c r="BU1067" s="147"/>
      <c r="BV1067" s="147"/>
      <c r="BW1067" s="147"/>
      <c r="BX1067" s="147"/>
      <c r="BY1067" s="147"/>
      <c r="BZ1067" s="147"/>
      <c r="CA1067" s="147"/>
      <c r="CB1067" s="147"/>
      <c r="CC1067" s="147"/>
      <c r="CD1067" s="147"/>
      <c r="CE1067" s="147"/>
      <c r="CF1067" s="147"/>
      <c r="CG1067" s="147"/>
      <c r="CH1067" s="147"/>
      <c r="CI1067" s="147"/>
      <c r="CJ1067" s="147"/>
      <c r="CK1067" s="147"/>
    </row>
    <row r="1068" spans="1:89">
      <c r="A1068" s="147"/>
      <c r="B1068" s="147"/>
      <c r="C1068" s="147"/>
      <c r="D1068" s="147"/>
      <c r="E1068" s="147"/>
      <c r="F1068" s="147"/>
      <c r="G1068" s="147"/>
      <c r="H1068" s="147"/>
      <c r="I1068" s="147"/>
      <c r="J1068" s="147"/>
      <c r="K1068" s="147"/>
      <c r="L1068" s="147"/>
      <c r="M1068" s="147"/>
      <c r="N1068" s="147"/>
      <c r="O1068" s="158"/>
      <c r="P1068" s="147"/>
      <c r="Q1068" s="147"/>
      <c r="R1068" s="147"/>
      <c r="S1068" s="147"/>
      <c r="T1068" s="147"/>
      <c r="U1068" s="147"/>
      <c r="V1068" s="147"/>
      <c r="W1068" s="147"/>
      <c r="X1068" s="147"/>
      <c r="Y1068" s="147"/>
      <c r="Z1068" s="147"/>
      <c r="AA1068" s="147"/>
      <c r="AB1068" s="147"/>
      <c r="AC1068" s="147"/>
      <c r="AD1068" s="147"/>
      <c r="AE1068" s="147"/>
      <c r="AF1068" s="147"/>
      <c r="AG1068" s="147"/>
      <c r="AH1068" s="147"/>
      <c r="AI1068" s="147"/>
      <c r="AJ1068" s="147"/>
      <c r="AK1068" s="147"/>
      <c r="AL1068" s="147"/>
      <c r="AM1068" s="147"/>
      <c r="AN1068" s="147"/>
      <c r="AO1068" s="147"/>
      <c r="AP1068" s="147"/>
      <c r="AQ1068" s="147"/>
      <c r="AR1068" s="147"/>
      <c r="AS1068" s="147"/>
      <c r="AT1068" s="147"/>
      <c r="AU1068" s="147"/>
      <c r="AV1068" s="147"/>
      <c r="AW1068" s="147"/>
      <c r="AX1068" s="147"/>
      <c r="AY1068" s="147"/>
      <c r="AZ1068" s="147"/>
      <c r="BA1068" s="147"/>
      <c r="BB1068" s="147"/>
      <c r="BC1068" s="147"/>
      <c r="BD1068" s="147"/>
      <c r="BE1068" s="147"/>
      <c r="BF1068" s="147"/>
      <c r="BG1068" s="147"/>
      <c r="BH1068" s="147"/>
      <c r="BI1068" s="147"/>
      <c r="BJ1068" s="147"/>
      <c r="BK1068" s="147"/>
      <c r="BL1068" s="147"/>
      <c r="BM1068" s="147"/>
      <c r="BN1068" s="147"/>
      <c r="BO1068" s="147"/>
      <c r="BP1068" s="147"/>
      <c r="BQ1068" s="147"/>
      <c r="BR1068" s="147"/>
      <c r="BS1068" s="147"/>
      <c r="BT1068" s="147"/>
      <c r="BU1068" s="147"/>
      <c r="BV1068" s="147"/>
      <c r="BW1068" s="147"/>
      <c r="BX1068" s="147"/>
      <c r="BY1068" s="147"/>
      <c r="BZ1068" s="147"/>
      <c r="CA1068" s="147"/>
      <c r="CB1068" s="147"/>
      <c r="CC1068" s="147"/>
      <c r="CD1068" s="147"/>
      <c r="CE1068" s="147"/>
      <c r="CF1068" s="147"/>
      <c r="CG1068" s="147"/>
      <c r="CH1068" s="147"/>
      <c r="CI1068" s="147"/>
      <c r="CJ1068" s="147"/>
      <c r="CK1068" s="147"/>
    </row>
    <row r="1069" spans="1:89">
      <c r="A1069" s="147"/>
      <c r="B1069" s="147"/>
      <c r="C1069" s="147"/>
      <c r="D1069" s="147"/>
      <c r="E1069" s="147"/>
      <c r="F1069" s="147"/>
      <c r="G1069" s="147"/>
      <c r="H1069" s="147"/>
      <c r="I1069" s="147"/>
      <c r="J1069" s="147"/>
      <c r="K1069" s="147"/>
      <c r="L1069" s="147"/>
      <c r="M1069" s="147"/>
      <c r="N1069" s="147"/>
      <c r="O1069" s="158"/>
      <c r="P1069" s="147"/>
      <c r="Q1069" s="147"/>
      <c r="R1069" s="147"/>
      <c r="S1069" s="147"/>
      <c r="T1069" s="147"/>
      <c r="U1069" s="147"/>
      <c r="V1069" s="147"/>
      <c r="W1069" s="147"/>
      <c r="X1069" s="147"/>
      <c r="Y1069" s="147"/>
      <c r="Z1069" s="147"/>
      <c r="AA1069" s="147"/>
      <c r="AB1069" s="147"/>
      <c r="AC1069" s="147"/>
      <c r="AD1069" s="147"/>
      <c r="AE1069" s="147"/>
      <c r="AF1069" s="147"/>
      <c r="AG1069" s="147"/>
      <c r="AH1069" s="147"/>
      <c r="AI1069" s="147"/>
      <c r="AJ1069" s="147"/>
      <c r="AK1069" s="147"/>
      <c r="AL1069" s="147"/>
      <c r="AM1069" s="147"/>
      <c r="AN1069" s="147"/>
      <c r="AO1069" s="147"/>
      <c r="AP1069" s="147"/>
      <c r="AQ1069" s="147"/>
      <c r="AR1069" s="147"/>
      <c r="AS1069" s="147"/>
      <c r="AT1069" s="147"/>
      <c r="AU1069" s="147"/>
      <c r="AV1069" s="147"/>
      <c r="AW1069" s="147"/>
      <c r="AX1069" s="147"/>
      <c r="AY1069" s="147"/>
      <c r="AZ1069" s="147"/>
      <c r="BA1069" s="147"/>
      <c r="BB1069" s="147"/>
      <c r="BC1069" s="147"/>
      <c r="BD1069" s="147"/>
      <c r="BE1069" s="147"/>
      <c r="BF1069" s="147"/>
      <c r="BG1069" s="147"/>
      <c r="BH1069" s="147"/>
      <c r="BI1069" s="147"/>
      <c r="BJ1069" s="147"/>
      <c r="BK1069" s="147"/>
      <c r="BL1069" s="147"/>
      <c r="BM1069" s="147"/>
      <c r="BN1069" s="147"/>
      <c r="BO1069" s="147"/>
      <c r="BP1069" s="147"/>
      <c r="BQ1069" s="147"/>
      <c r="BR1069" s="147"/>
      <c r="BS1069" s="147"/>
      <c r="BT1069" s="147"/>
      <c r="BU1069" s="147"/>
      <c r="BV1069" s="147"/>
      <c r="BW1069" s="147"/>
      <c r="BX1069" s="147"/>
      <c r="BY1069" s="147"/>
      <c r="BZ1069" s="147"/>
      <c r="CA1069" s="147"/>
      <c r="CB1069" s="147"/>
      <c r="CC1069" s="147"/>
      <c r="CD1069" s="147"/>
      <c r="CE1069" s="147"/>
      <c r="CF1069" s="147"/>
      <c r="CG1069" s="147"/>
      <c r="CH1069" s="147"/>
      <c r="CI1069" s="147"/>
      <c r="CJ1069" s="147"/>
      <c r="CK1069" s="147"/>
    </row>
    <row r="1070" spans="1:89">
      <c r="A1070" s="147"/>
      <c r="B1070" s="147"/>
      <c r="C1070" s="147"/>
      <c r="D1070" s="147"/>
      <c r="E1070" s="147"/>
      <c r="F1070" s="147"/>
      <c r="G1070" s="147"/>
      <c r="H1070" s="147"/>
      <c r="I1070" s="147"/>
      <c r="J1070" s="147"/>
      <c r="K1070" s="147"/>
      <c r="L1070" s="147"/>
      <c r="M1070" s="147"/>
      <c r="N1070" s="147"/>
      <c r="O1070" s="158"/>
      <c r="P1070" s="147"/>
      <c r="Q1070" s="147"/>
      <c r="R1070" s="147"/>
      <c r="S1070" s="147"/>
      <c r="T1070" s="147"/>
      <c r="U1070" s="147"/>
      <c r="V1070" s="147"/>
      <c r="W1070" s="147"/>
      <c r="X1070" s="147"/>
      <c r="Y1070" s="147"/>
      <c r="Z1070" s="147"/>
      <c r="AA1070" s="147"/>
      <c r="AB1070" s="147"/>
      <c r="AC1070" s="147"/>
      <c r="AD1070" s="147"/>
      <c r="AE1070" s="147"/>
      <c r="AF1070" s="147"/>
      <c r="AG1070" s="147"/>
      <c r="AH1070" s="147"/>
      <c r="AI1070" s="147"/>
      <c r="AJ1070" s="147"/>
      <c r="AK1070" s="147"/>
      <c r="AL1070" s="147"/>
      <c r="AM1070" s="147"/>
      <c r="AN1070" s="147"/>
      <c r="AO1070" s="147"/>
      <c r="AP1070" s="147"/>
      <c r="AQ1070" s="147"/>
      <c r="AR1070" s="147"/>
      <c r="AS1070" s="147"/>
      <c r="AT1070" s="147"/>
      <c r="AU1070" s="147"/>
      <c r="AV1070" s="147"/>
      <c r="AW1070" s="147"/>
      <c r="AX1070" s="147"/>
      <c r="AY1070" s="147"/>
      <c r="AZ1070" s="147"/>
      <c r="BA1070" s="147"/>
      <c r="BB1070" s="147"/>
      <c r="BC1070" s="147"/>
      <c r="BD1070" s="147"/>
      <c r="BE1070" s="147"/>
      <c r="BF1070" s="147"/>
      <c r="BG1070" s="147"/>
      <c r="BH1070" s="147"/>
      <c r="BI1070" s="147"/>
      <c r="BJ1070" s="147"/>
      <c r="BK1070" s="147"/>
      <c r="BL1070" s="147"/>
      <c r="BM1070" s="147"/>
      <c r="BN1070" s="147"/>
      <c r="BO1070" s="147"/>
      <c r="BP1070" s="147"/>
      <c r="BQ1070" s="147"/>
      <c r="BR1070" s="147"/>
      <c r="BS1070" s="147"/>
      <c r="BT1070" s="147"/>
      <c r="BU1070" s="147"/>
      <c r="BV1070" s="147"/>
      <c r="BW1070" s="147"/>
      <c r="BX1070" s="147"/>
      <c r="BY1070" s="147"/>
      <c r="BZ1070" s="147"/>
      <c r="CA1070" s="147"/>
      <c r="CB1070" s="147"/>
      <c r="CC1070" s="147"/>
      <c r="CD1070" s="147"/>
      <c r="CE1070" s="147"/>
      <c r="CF1070" s="147"/>
      <c r="CG1070" s="147"/>
      <c r="CH1070" s="147"/>
      <c r="CI1070" s="147"/>
      <c r="CJ1070" s="147"/>
      <c r="CK1070" s="147"/>
    </row>
    <row r="1071" spans="1:89">
      <c r="A1071" s="147"/>
      <c r="B1071" s="147"/>
      <c r="C1071" s="147"/>
      <c r="D1071" s="147"/>
      <c r="E1071" s="147"/>
      <c r="F1071" s="147"/>
      <c r="G1071" s="147"/>
      <c r="H1071" s="147"/>
      <c r="I1071" s="147"/>
      <c r="J1071" s="147"/>
      <c r="K1071" s="147"/>
      <c r="L1071" s="147"/>
      <c r="M1071" s="147"/>
      <c r="N1071" s="147"/>
      <c r="O1071" s="158"/>
      <c r="P1071" s="147"/>
      <c r="Q1071" s="147"/>
      <c r="R1071" s="147"/>
      <c r="S1071" s="147"/>
      <c r="T1071" s="147"/>
      <c r="U1071" s="147"/>
      <c r="V1071" s="147"/>
      <c r="W1071" s="147"/>
      <c r="X1071" s="147"/>
      <c r="Y1071" s="147"/>
      <c r="Z1071" s="147"/>
      <c r="AA1071" s="147"/>
      <c r="AB1071" s="147"/>
      <c r="AC1071" s="147"/>
      <c r="AD1071" s="147"/>
      <c r="AE1071" s="147"/>
      <c r="AF1071" s="147"/>
      <c r="AG1071" s="147"/>
      <c r="AH1071" s="147"/>
      <c r="AI1071" s="147"/>
      <c r="AJ1071" s="147"/>
      <c r="AK1071" s="147"/>
      <c r="AL1071" s="147"/>
      <c r="AM1071" s="147"/>
      <c r="AN1071" s="147"/>
      <c r="AO1071" s="147"/>
      <c r="AP1071" s="147"/>
      <c r="AQ1071" s="147"/>
      <c r="AR1071" s="147"/>
      <c r="AS1071" s="147"/>
      <c r="AT1071" s="147"/>
      <c r="AU1071" s="147"/>
      <c r="AV1071" s="147"/>
      <c r="AW1071" s="147"/>
      <c r="AX1071" s="147"/>
      <c r="AY1071" s="147"/>
      <c r="AZ1071" s="147"/>
      <c r="BA1071" s="147"/>
      <c r="BB1071" s="147"/>
      <c r="BC1071" s="147"/>
      <c r="BD1071" s="147"/>
      <c r="BE1071" s="147"/>
      <c r="BF1071" s="147"/>
      <c r="BG1071" s="147"/>
      <c r="BH1071" s="147"/>
      <c r="BI1071" s="147"/>
      <c r="BJ1071" s="147"/>
      <c r="BK1071" s="147"/>
      <c r="BL1071" s="147"/>
      <c r="BM1071" s="147"/>
      <c r="BN1071" s="147"/>
      <c r="BO1071" s="147"/>
      <c r="BP1071" s="147"/>
      <c r="BQ1071" s="147"/>
      <c r="BR1071" s="147"/>
      <c r="BS1071" s="147"/>
      <c r="BT1071" s="147"/>
      <c r="BU1071" s="147"/>
      <c r="BV1071" s="147"/>
      <c r="BW1071" s="147"/>
      <c r="BX1071" s="147"/>
      <c r="BY1071" s="147"/>
      <c r="BZ1071" s="147"/>
      <c r="CA1071" s="147"/>
      <c r="CB1071" s="147"/>
      <c r="CC1071" s="147"/>
      <c r="CD1071" s="147"/>
      <c r="CE1071" s="147"/>
      <c r="CF1071" s="147"/>
      <c r="CG1071" s="147"/>
      <c r="CH1071" s="147"/>
      <c r="CI1071" s="147"/>
      <c r="CJ1071" s="147"/>
      <c r="CK1071" s="147"/>
    </row>
    <row r="1072" spans="1:89">
      <c r="A1072" s="147"/>
      <c r="B1072" s="147"/>
      <c r="C1072" s="147"/>
      <c r="D1072" s="147"/>
      <c r="E1072" s="147"/>
      <c r="F1072" s="147"/>
      <c r="G1072" s="147"/>
      <c r="H1072" s="147"/>
      <c r="I1072" s="147"/>
      <c r="J1072" s="147"/>
      <c r="K1072" s="147"/>
      <c r="L1072" s="147"/>
      <c r="M1072" s="147"/>
      <c r="N1072" s="147"/>
      <c r="O1072" s="158"/>
      <c r="P1072" s="147"/>
      <c r="Q1072" s="147"/>
      <c r="R1072" s="147"/>
      <c r="S1072" s="147"/>
      <c r="T1072" s="147"/>
      <c r="U1072" s="147"/>
      <c r="V1072" s="147"/>
      <c r="W1072" s="147"/>
      <c r="X1072" s="147"/>
      <c r="Y1072" s="147"/>
      <c r="Z1072" s="147"/>
      <c r="AA1072" s="147"/>
      <c r="AB1072" s="147"/>
      <c r="AC1072" s="147"/>
      <c r="AD1072" s="147"/>
      <c r="AE1072" s="147"/>
      <c r="AF1072" s="147"/>
      <c r="AG1072" s="147"/>
      <c r="AH1072" s="147"/>
      <c r="AI1072" s="147"/>
      <c r="AJ1072" s="147"/>
      <c r="AK1072" s="147"/>
      <c r="AL1072" s="147"/>
      <c r="AM1072" s="147"/>
      <c r="AN1072" s="147"/>
      <c r="AO1072" s="147"/>
      <c r="AP1072" s="147"/>
      <c r="AQ1072" s="147"/>
      <c r="AR1072" s="147"/>
      <c r="AS1072" s="147"/>
      <c r="AT1072" s="147"/>
      <c r="AU1072" s="147"/>
      <c r="AV1072" s="147"/>
      <c r="AW1072" s="147"/>
      <c r="AX1072" s="147"/>
      <c r="AY1072" s="147"/>
      <c r="AZ1072" s="147"/>
      <c r="BA1072" s="147"/>
      <c r="BB1072" s="147"/>
      <c r="BC1072" s="147"/>
      <c r="BD1072" s="147"/>
      <c r="BE1072" s="147"/>
      <c r="BF1072" s="147"/>
      <c r="BG1072" s="147"/>
      <c r="BH1072" s="147"/>
      <c r="BI1072" s="147"/>
      <c r="BJ1072" s="147"/>
      <c r="BK1072" s="147"/>
      <c r="BL1072" s="147"/>
      <c r="BM1072" s="147"/>
      <c r="BN1072" s="147"/>
      <c r="BO1072" s="147"/>
      <c r="BP1072" s="147"/>
      <c r="BQ1072" s="147"/>
      <c r="BR1072" s="147"/>
      <c r="BS1072" s="147"/>
      <c r="BT1072" s="147"/>
      <c r="BU1072" s="147"/>
      <c r="BV1072" s="147"/>
      <c r="BW1072" s="147"/>
      <c r="BX1072" s="147"/>
      <c r="BY1072" s="147"/>
      <c r="BZ1072" s="147"/>
      <c r="CA1072" s="147"/>
      <c r="CB1072" s="147"/>
      <c r="CC1072" s="147"/>
      <c r="CD1072" s="147"/>
      <c r="CE1072" s="147"/>
      <c r="CF1072" s="147"/>
      <c r="CG1072" s="147"/>
      <c r="CH1072" s="147"/>
      <c r="CI1072" s="147"/>
      <c r="CJ1072" s="147"/>
      <c r="CK1072" s="147"/>
    </row>
    <row r="1073" spans="1:89">
      <c r="A1073" s="147"/>
      <c r="B1073" s="147"/>
      <c r="C1073" s="147"/>
      <c r="D1073" s="147"/>
      <c r="E1073" s="147"/>
      <c r="F1073" s="147"/>
      <c r="G1073" s="147"/>
      <c r="H1073" s="147"/>
      <c r="I1073" s="147"/>
      <c r="J1073" s="147"/>
      <c r="K1073" s="147"/>
      <c r="L1073" s="147"/>
      <c r="M1073" s="147"/>
      <c r="N1073" s="147"/>
      <c r="O1073" s="158"/>
      <c r="P1073" s="147"/>
      <c r="Q1073" s="147"/>
      <c r="R1073" s="147"/>
      <c r="S1073" s="147"/>
      <c r="T1073" s="147"/>
      <c r="U1073" s="147"/>
      <c r="V1073" s="147"/>
      <c r="W1073" s="147"/>
      <c r="X1073" s="147"/>
      <c r="Y1073" s="147"/>
      <c r="Z1073" s="147"/>
      <c r="AA1073" s="147"/>
      <c r="AB1073" s="147"/>
      <c r="AC1073" s="147"/>
      <c r="AD1073" s="147"/>
      <c r="AE1073" s="147"/>
      <c r="AF1073" s="147"/>
      <c r="AG1073" s="147"/>
      <c r="AH1073" s="147"/>
      <c r="AI1073" s="147"/>
      <c r="AJ1073" s="147"/>
      <c r="AK1073" s="147"/>
      <c r="AL1073" s="147"/>
      <c r="AM1073" s="147"/>
      <c r="AN1073" s="147"/>
      <c r="AO1073" s="147"/>
      <c r="AP1073" s="147"/>
      <c r="AQ1073" s="147"/>
      <c r="AR1073" s="147"/>
      <c r="AS1073" s="147"/>
      <c r="AT1073" s="147"/>
      <c r="AU1073" s="147"/>
      <c r="AV1073" s="147"/>
      <c r="AW1073" s="147"/>
      <c r="AX1073" s="147"/>
      <c r="AY1073" s="147"/>
      <c r="AZ1073" s="147"/>
      <c r="BA1073" s="147"/>
      <c r="BB1073" s="147"/>
      <c r="BC1073" s="147"/>
      <c r="BD1073" s="147"/>
      <c r="BE1073" s="147"/>
      <c r="BF1073" s="147"/>
      <c r="BG1073" s="147"/>
      <c r="BH1073" s="147"/>
      <c r="BI1073" s="147"/>
      <c r="BJ1073" s="147"/>
      <c r="BK1073" s="147"/>
      <c r="BL1073" s="147"/>
      <c r="BM1073" s="147"/>
      <c r="BN1073" s="147"/>
      <c r="BO1073" s="147"/>
      <c r="BP1073" s="147"/>
      <c r="BQ1073" s="147"/>
      <c r="BR1073" s="147"/>
      <c r="BS1073" s="147"/>
      <c r="BT1073" s="147"/>
      <c r="BU1073" s="147"/>
      <c r="BV1073" s="147"/>
      <c r="BW1073" s="147"/>
      <c r="BX1073" s="147"/>
      <c r="BY1073" s="147"/>
      <c r="BZ1073" s="147"/>
      <c r="CA1073" s="147"/>
      <c r="CB1073" s="147"/>
      <c r="CC1073" s="147"/>
      <c r="CD1073" s="147"/>
      <c r="CE1073" s="147"/>
      <c r="CF1073" s="147"/>
      <c r="CG1073" s="147"/>
      <c r="CH1073" s="147"/>
      <c r="CI1073" s="147"/>
      <c r="CJ1073" s="147"/>
      <c r="CK1073" s="147"/>
    </row>
    <row r="1074" spans="1:89">
      <c r="A1074" s="147"/>
      <c r="B1074" s="147"/>
      <c r="C1074" s="147"/>
      <c r="D1074" s="147"/>
      <c r="E1074" s="147"/>
      <c r="F1074" s="147"/>
      <c r="G1074" s="147"/>
      <c r="H1074" s="147"/>
      <c r="I1074" s="147"/>
      <c r="J1074" s="147"/>
      <c r="K1074" s="147"/>
      <c r="L1074" s="147"/>
      <c r="M1074" s="147"/>
      <c r="N1074" s="147"/>
      <c r="O1074" s="158"/>
      <c r="P1074" s="147"/>
      <c r="Q1074" s="147"/>
      <c r="R1074" s="147"/>
      <c r="S1074" s="147"/>
      <c r="T1074" s="147"/>
      <c r="U1074" s="147"/>
      <c r="V1074" s="147"/>
      <c r="W1074" s="147"/>
      <c r="X1074" s="147"/>
      <c r="Y1074" s="147"/>
      <c r="Z1074" s="147"/>
      <c r="AA1074" s="147"/>
      <c r="AB1074" s="147"/>
      <c r="AC1074" s="147"/>
      <c r="AD1074" s="147"/>
      <c r="AE1074" s="147"/>
      <c r="AF1074" s="147"/>
      <c r="AG1074" s="147"/>
      <c r="AH1074" s="147"/>
      <c r="AI1074" s="147"/>
      <c r="AJ1074" s="147"/>
      <c r="AK1074" s="147"/>
      <c r="AL1074" s="147"/>
      <c r="AM1074" s="147"/>
      <c r="AN1074" s="147"/>
      <c r="AO1074" s="147"/>
      <c r="AP1074" s="147"/>
      <c r="AQ1074" s="147"/>
      <c r="AR1074" s="147"/>
      <c r="AS1074" s="147"/>
      <c r="AT1074" s="147"/>
      <c r="AU1074" s="147"/>
      <c r="AV1074" s="147"/>
      <c r="AW1074" s="147"/>
      <c r="AX1074" s="147"/>
      <c r="AY1074" s="147"/>
      <c r="AZ1074" s="147"/>
      <c r="BA1074" s="147"/>
      <c r="BB1074" s="147"/>
      <c r="BC1074" s="147"/>
      <c r="BD1074" s="147"/>
      <c r="BE1074" s="147"/>
      <c r="BF1074" s="147"/>
      <c r="BG1074" s="147"/>
      <c r="BH1074" s="147"/>
      <c r="BI1074" s="147"/>
      <c r="BJ1074" s="147"/>
      <c r="BK1074" s="147"/>
      <c r="BL1074" s="147"/>
      <c r="BM1074" s="147"/>
      <c r="BN1074" s="147"/>
      <c r="BO1074" s="147"/>
      <c r="BP1074" s="147"/>
      <c r="BQ1074" s="147"/>
      <c r="BR1074" s="147"/>
      <c r="BS1074" s="147"/>
      <c r="BT1074" s="147"/>
      <c r="BU1074" s="147"/>
      <c r="BV1074" s="147"/>
      <c r="BW1074" s="147"/>
      <c r="BX1074" s="147"/>
      <c r="BY1074" s="147"/>
      <c r="BZ1074" s="147"/>
      <c r="CA1074" s="147"/>
      <c r="CB1074" s="147"/>
      <c r="CC1074" s="147"/>
      <c r="CD1074" s="147"/>
      <c r="CE1074" s="147"/>
      <c r="CF1074" s="147"/>
      <c r="CG1074" s="147"/>
      <c r="CH1074" s="147"/>
      <c r="CI1074" s="147"/>
      <c r="CJ1074" s="147"/>
      <c r="CK1074" s="147"/>
    </row>
    <row r="1075" spans="1:89">
      <c r="A1075" s="147"/>
      <c r="B1075" s="147"/>
      <c r="C1075" s="147"/>
      <c r="D1075" s="147"/>
      <c r="E1075" s="147"/>
      <c r="F1075" s="147"/>
      <c r="G1075" s="147"/>
      <c r="H1075" s="147"/>
      <c r="I1075" s="147"/>
      <c r="J1075" s="147"/>
      <c r="K1075" s="147"/>
      <c r="L1075" s="147"/>
      <c r="M1075" s="147"/>
      <c r="N1075" s="147"/>
      <c r="O1075" s="158"/>
      <c r="P1075" s="147"/>
      <c r="Q1075" s="147"/>
      <c r="R1075" s="147"/>
      <c r="S1075" s="147"/>
      <c r="T1075" s="147"/>
      <c r="U1075" s="147"/>
      <c r="V1075" s="147"/>
      <c r="W1075" s="147"/>
      <c r="X1075" s="147"/>
      <c r="Y1075" s="147"/>
      <c r="Z1075" s="147"/>
      <c r="AA1075" s="147"/>
      <c r="AB1075" s="147"/>
      <c r="AC1075" s="147"/>
      <c r="AD1075" s="147"/>
      <c r="AE1075" s="147"/>
      <c r="AF1075" s="147"/>
      <c r="AG1075" s="147"/>
      <c r="AH1075" s="147"/>
      <c r="AI1075" s="147"/>
      <c r="AJ1075" s="147"/>
      <c r="AK1075" s="147"/>
      <c r="AL1075" s="147"/>
      <c r="AM1075" s="147"/>
      <c r="AN1075" s="147"/>
      <c r="AO1075" s="147"/>
      <c r="AP1075" s="147"/>
      <c r="AQ1075" s="147"/>
      <c r="AR1075" s="147"/>
      <c r="AS1075" s="147"/>
      <c r="AT1075" s="147"/>
      <c r="AU1075" s="147"/>
      <c r="AV1075" s="147"/>
      <c r="AW1075" s="147"/>
      <c r="AX1075" s="147"/>
      <c r="AY1075" s="147"/>
      <c r="AZ1075" s="147"/>
      <c r="BA1075" s="147"/>
      <c r="BB1075" s="147"/>
      <c r="BC1075" s="147"/>
      <c r="BD1075" s="147"/>
      <c r="BE1075" s="147"/>
      <c r="BF1075" s="147"/>
      <c r="BG1075" s="147"/>
      <c r="BH1075" s="147"/>
      <c r="BI1075" s="147"/>
      <c r="BJ1075" s="147"/>
      <c r="BK1075" s="147"/>
      <c r="BL1075" s="147"/>
      <c r="BM1075" s="147"/>
      <c r="BN1075" s="147"/>
      <c r="BO1075" s="147"/>
      <c r="BP1075" s="147"/>
      <c r="BQ1075" s="147"/>
      <c r="BR1075" s="147"/>
      <c r="BS1075" s="147"/>
      <c r="BT1075" s="147"/>
      <c r="BU1075" s="147"/>
      <c r="BV1075" s="147"/>
      <c r="BW1075" s="147"/>
      <c r="BX1075" s="147"/>
      <c r="BY1075" s="147"/>
      <c r="BZ1075" s="147"/>
      <c r="CA1075" s="147"/>
      <c r="CB1075" s="147"/>
      <c r="CC1075" s="147"/>
      <c r="CD1075" s="147"/>
      <c r="CE1075" s="147"/>
      <c r="CF1075" s="147"/>
      <c r="CG1075" s="147"/>
      <c r="CH1075" s="147"/>
      <c r="CI1075" s="147"/>
      <c r="CJ1075" s="147"/>
      <c r="CK1075" s="147"/>
    </row>
    <row r="1076" spans="1:89">
      <c r="A1076" s="147"/>
      <c r="B1076" s="147"/>
      <c r="C1076" s="147"/>
      <c r="D1076" s="147"/>
      <c r="E1076" s="147"/>
      <c r="F1076" s="147"/>
      <c r="G1076" s="147"/>
      <c r="H1076" s="147"/>
      <c r="I1076" s="147"/>
      <c r="J1076" s="147"/>
      <c r="K1076" s="147"/>
      <c r="L1076" s="147"/>
      <c r="M1076" s="147"/>
      <c r="N1076" s="147"/>
      <c r="O1076" s="158"/>
      <c r="P1076" s="147"/>
      <c r="Q1076" s="147"/>
      <c r="R1076" s="147"/>
      <c r="S1076" s="147"/>
      <c r="T1076" s="147"/>
      <c r="U1076" s="147"/>
      <c r="V1076" s="147"/>
      <c r="W1076" s="147"/>
      <c r="X1076" s="147"/>
      <c r="Y1076" s="147"/>
      <c r="Z1076" s="147"/>
      <c r="AA1076" s="147"/>
      <c r="AB1076" s="147"/>
      <c r="AC1076" s="147"/>
      <c r="AD1076" s="147"/>
      <c r="AE1076" s="147"/>
      <c r="AF1076" s="147"/>
      <c r="AG1076" s="147"/>
      <c r="AH1076" s="147"/>
      <c r="AI1076" s="147"/>
      <c r="AJ1076" s="147"/>
      <c r="AK1076" s="147"/>
      <c r="AL1076" s="147"/>
      <c r="AM1076" s="147"/>
      <c r="AN1076" s="147"/>
      <c r="AO1076" s="147"/>
      <c r="AP1076" s="147"/>
      <c r="AQ1076" s="147"/>
      <c r="AR1076" s="147"/>
      <c r="AS1076" s="147"/>
      <c r="AT1076" s="147"/>
      <c r="AU1076" s="147"/>
      <c r="AV1076" s="147"/>
      <c r="AW1076" s="147"/>
      <c r="AX1076" s="147"/>
      <c r="AY1076" s="147"/>
      <c r="AZ1076" s="147"/>
      <c r="BA1076" s="147"/>
      <c r="BB1076" s="147"/>
      <c r="BC1076" s="147"/>
      <c r="BD1076" s="147"/>
      <c r="BE1076" s="147"/>
      <c r="BF1076" s="147"/>
      <c r="BG1076" s="147"/>
      <c r="BH1076" s="147"/>
      <c r="BI1076" s="147"/>
      <c r="BJ1076" s="147"/>
      <c r="BK1076" s="147"/>
      <c r="BL1076" s="147"/>
      <c r="BM1076" s="147"/>
      <c r="BN1076" s="147"/>
      <c r="BO1076" s="147"/>
      <c r="BP1076" s="147"/>
      <c r="BQ1076" s="147"/>
      <c r="BR1076" s="147"/>
      <c r="BS1076" s="147"/>
      <c r="BT1076" s="147"/>
      <c r="BU1076" s="147"/>
      <c r="BV1076" s="147"/>
      <c r="BW1076" s="147"/>
      <c r="BX1076" s="147"/>
      <c r="BY1076" s="147"/>
      <c r="BZ1076" s="147"/>
      <c r="CA1076" s="147"/>
      <c r="CB1076" s="147"/>
      <c r="CC1076" s="147"/>
      <c r="CD1076" s="147"/>
      <c r="CE1076" s="147"/>
      <c r="CF1076" s="147"/>
      <c r="CG1076" s="147"/>
      <c r="CH1076" s="147"/>
      <c r="CI1076" s="147"/>
      <c r="CJ1076" s="147"/>
      <c r="CK1076" s="147"/>
    </row>
    <row r="1077" spans="1:89">
      <c r="A1077" s="147"/>
      <c r="B1077" s="147"/>
      <c r="C1077" s="147"/>
      <c r="D1077" s="147"/>
      <c r="E1077" s="147"/>
      <c r="F1077" s="147"/>
      <c r="G1077" s="147"/>
      <c r="H1077" s="147"/>
      <c r="I1077" s="147"/>
      <c r="J1077" s="147"/>
      <c r="K1077" s="147"/>
      <c r="L1077" s="147"/>
      <c r="M1077" s="147"/>
      <c r="N1077" s="147"/>
      <c r="O1077" s="158"/>
      <c r="P1077" s="147"/>
      <c r="Q1077" s="147"/>
      <c r="R1077" s="147"/>
      <c r="S1077" s="147"/>
      <c r="T1077" s="147"/>
      <c r="U1077" s="147"/>
      <c r="V1077" s="147"/>
      <c r="W1077" s="147"/>
      <c r="X1077" s="147"/>
      <c r="Y1077" s="147"/>
      <c r="Z1077" s="147"/>
      <c r="AA1077" s="147"/>
      <c r="AB1077" s="147"/>
      <c r="AC1077" s="147"/>
      <c r="AD1077" s="147"/>
      <c r="AE1077" s="147"/>
      <c r="AF1077" s="147"/>
      <c r="AG1077" s="147"/>
      <c r="AH1077" s="147"/>
      <c r="AI1077" s="147"/>
      <c r="AJ1077" s="147"/>
      <c r="AK1077" s="147"/>
      <c r="AL1077" s="147"/>
      <c r="AM1077" s="147"/>
      <c r="AN1077" s="147"/>
      <c r="AO1077" s="147"/>
      <c r="AP1077" s="147"/>
      <c r="AQ1077" s="147"/>
      <c r="AR1077" s="147"/>
      <c r="AS1077" s="147"/>
      <c r="AT1077" s="147"/>
      <c r="AU1077" s="147"/>
      <c r="AV1077" s="147"/>
      <c r="AW1077" s="147"/>
      <c r="AX1077" s="147"/>
      <c r="AY1077" s="147"/>
      <c r="AZ1077" s="147"/>
      <c r="BA1077" s="147"/>
      <c r="BB1077" s="147"/>
      <c r="BC1077" s="147"/>
      <c r="BD1077" s="147"/>
      <c r="BE1077" s="147"/>
      <c r="BF1077" s="147"/>
      <c r="BG1077" s="147"/>
      <c r="BH1077" s="147"/>
      <c r="BI1077" s="147"/>
      <c r="BJ1077" s="147"/>
      <c r="BK1077" s="147"/>
      <c r="BL1077" s="147"/>
      <c r="BM1077" s="147"/>
      <c r="BN1077" s="147"/>
      <c r="BO1077" s="147"/>
      <c r="BP1077" s="147"/>
      <c r="BQ1077" s="147"/>
      <c r="BR1077" s="147"/>
      <c r="BS1077" s="147"/>
      <c r="BT1077" s="147"/>
      <c r="BU1077" s="147"/>
      <c r="BV1077" s="147"/>
      <c r="BW1077" s="147"/>
      <c r="BX1077" s="147"/>
      <c r="BY1077" s="147"/>
      <c r="BZ1077" s="147"/>
      <c r="CA1077" s="147"/>
      <c r="CB1077" s="147"/>
      <c r="CC1077" s="147"/>
      <c r="CD1077" s="147"/>
      <c r="CE1077" s="147"/>
      <c r="CF1077" s="147"/>
      <c r="CG1077" s="147"/>
      <c r="CH1077" s="147"/>
      <c r="CI1077" s="147"/>
      <c r="CJ1077" s="147"/>
      <c r="CK1077" s="147"/>
    </row>
    <row r="1078" spans="1:89">
      <c r="A1078" s="147"/>
      <c r="B1078" s="147"/>
      <c r="C1078" s="147"/>
      <c r="D1078" s="147"/>
      <c r="E1078" s="147"/>
      <c r="F1078" s="147"/>
      <c r="G1078" s="147"/>
      <c r="H1078" s="147"/>
      <c r="I1078" s="147"/>
      <c r="J1078" s="147"/>
      <c r="K1078" s="147"/>
      <c r="L1078" s="147"/>
      <c r="M1078" s="147"/>
      <c r="N1078" s="147"/>
      <c r="O1078" s="158"/>
      <c r="P1078" s="147"/>
      <c r="Q1078" s="147"/>
      <c r="R1078" s="147"/>
      <c r="S1078" s="147"/>
      <c r="T1078" s="147"/>
      <c r="U1078" s="147"/>
      <c r="V1078" s="147"/>
      <c r="W1078" s="147"/>
      <c r="X1078" s="147"/>
      <c r="Y1078" s="147"/>
      <c r="Z1078" s="147"/>
      <c r="AA1078" s="147"/>
      <c r="AB1078" s="147"/>
      <c r="AC1078" s="147"/>
      <c r="AD1078" s="147"/>
      <c r="AE1078" s="147"/>
      <c r="AF1078" s="147"/>
      <c r="AG1078" s="147"/>
      <c r="AH1078" s="147"/>
      <c r="AI1078" s="147"/>
      <c r="AJ1078" s="147"/>
      <c r="AK1078" s="147"/>
      <c r="AL1078" s="147"/>
      <c r="AM1078" s="147"/>
      <c r="AN1078" s="147"/>
      <c r="AO1078" s="147"/>
      <c r="AP1078" s="147"/>
      <c r="AQ1078" s="147"/>
      <c r="AR1078" s="147"/>
      <c r="AS1078" s="147"/>
      <c r="AT1078" s="147"/>
      <c r="AU1078" s="147"/>
      <c r="AV1078" s="147"/>
      <c r="AW1078" s="147"/>
      <c r="AX1078" s="147"/>
      <c r="AY1078" s="147"/>
      <c r="AZ1078" s="147"/>
      <c r="BA1078" s="147"/>
      <c r="BB1078" s="147"/>
      <c r="BC1078" s="147"/>
      <c r="BD1078" s="147"/>
      <c r="BE1078" s="147"/>
      <c r="BF1078" s="147"/>
      <c r="BG1078" s="147"/>
      <c r="BH1078" s="147"/>
      <c r="BI1078" s="147"/>
      <c r="BJ1078" s="147"/>
      <c r="BK1078" s="147"/>
      <c r="BL1078" s="147"/>
      <c r="BM1078" s="147"/>
      <c r="BN1078" s="147"/>
      <c r="BO1078" s="147"/>
      <c r="BP1078" s="147"/>
      <c r="BQ1078" s="147"/>
      <c r="BR1078" s="147"/>
      <c r="BS1078" s="147"/>
      <c r="BT1078" s="147"/>
      <c r="BU1078" s="147"/>
      <c r="BV1078" s="147"/>
      <c r="BW1078" s="147"/>
      <c r="BX1078" s="147"/>
      <c r="BY1078" s="147"/>
      <c r="BZ1078" s="147"/>
      <c r="CA1078" s="147"/>
      <c r="CB1078" s="147"/>
      <c r="CC1078" s="147"/>
      <c r="CD1078" s="147"/>
      <c r="CE1078" s="147"/>
      <c r="CF1078" s="147"/>
      <c r="CG1078" s="147"/>
      <c r="CH1078" s="147"/>
      <c r="CI1078" s="147"/>
      <c r="CJ1078" s="147"/>
      <c r="CK1078" s="147"/>
    </row>
    <row r="1079" spans="1:89">
      <c r="A1079" s="147"/>
      <c r="B1079" s="147"/>
      <c r="C1079" s="147"/>
      <c r="D1079" s="147"/>
      <c r="E1079" s="147"/>
      <c r="F1079" s="147"/>
      <c r="G1079" s="147"/>
      <c r="H1079" s="147"/>
      <c r="I1079" s="147"/>
      <c r="J1079" s="147"/>
      <c r="K1079" s="147"/>
      <c r="L1079" s="147"/>
      <c r="M1079" s="147"/>
      <c r="N1079" s="147"/>
      <c r="O1079" s="158"/>
      <c r="P1079" s="147"/>
      <c r="Q1079" s="147"/>
      <c r="R1079" s="147"/>
      <c r="S1079" s="147"/>
      <c r="T1079" s="147"/>
      <c r="U1079" s="147"/>
      <c r="V1079" s="147"/>
      <c r="W1079" s="147"/>
      <c r="X1079" s="147"/>
      <c r="Y1079" s="147"/>
      <c r="Z1079" s="147"/>
      <c r="AA1079" s="147"/>
      <c r="AB1079" s="147"/>
      <c r="AC1079" s="147"/>
      <c r="AD1079" s="147"/>
      <c r="AE1079" s="147"/>
      <c r="AF1079" s="147"/>
      <c r="AG1079" s="147"/>
      <c r="AH1079" s="147"/>
      <c r="AI1079" s="147"/>
      <c r="AJ1079" s="147"/>
      <c r="AK1079" s="147"/>
      <c r="AL1079" s="147"/>
      <c r="AM1079" s="147"/>
      <c r="AN1079" s="147"/>
      <c r="AO1079" s="147"/>
      <c r="AP1079" s="147"/>
      <c r="AQ1079" s="147"/>
      <c r="AR1079" s="147"/>
      <c r="AS1079" s="147"/>
      <c r="AT1079" s="147"/>
      <c r="AU1079" s="147"/>
      <c r="AV1079" s="147"/>
      <c r="AW1079" s="147"/>
      <c r="AX1079" s="147"/>
      <c r="AY1079" s="147"/>
      <c r="AZ1079" s="147"/>
      <c r="BA1079" s="147"/>
      <c r="BB1079" s="147"/>
      <c r="BC1079" s="147"/>
      <c r="BD1079" s="147"/>
      <c r="BE1079" s="147"/>
      <c r="BF1079" s="147"/>
      <c r="BG1079" s="147"/>
      <c r="BH1079" s="147"/>
      <c r="BI1079" s="147"/>
      <c r="BJ1079" s="147"/>
      <c r="BK1079" s="147"/>
      <c r="BL1079" s="147"/>
      <c r="BM1079" s="147"/>
      <c r="BN1079" s="147"/>
      <c r="BO1079" s="147"/>
      <c r="BP1079" s="147"/>
      <c r="BQ1079" s="147"/>
      <c r="BR1079" s="147"/>
      <c r="BS1079" s="147"/>
      <c r="BT1079" s="147"/>
      <c r="BU1079" s="147"/>
      <c r="BV1079" s="147"/>
      <c r="BW1079" s="147"/>
      <c r="BX1079" s="147"/>
      <c r="BY1079" s="147"/>
      <c r="BZ1079" s="147"/>
      <c r="CA1079" s="147"/>
      <c r="CB1079" s="147"/>
      <c r="CC1079" s="147"/>
      <c r="CD1079" s="147"/>
      <c r="CE1079" s="147"/>
      <c r="CF1079" s="147"/>
      <c r="CG1079" s="147"/>
      <c r="CH1079" s="147"/>
      <c r="CI1079" s="147"/>
      <c r="CJ1079" s="147"/>
      <c r="CK1079" s="147"/>
    </row>
    <row r="1080" spans="1:89">
      <c r="A1080" s="147"/>
      <c r="B1080" s="147"/>
      <c r="C1080" s="147"/>
      <c r="D1080" s="147"/>
      <c r="E1080" s="147"/>
      <c r="F1080" s="147"/>
      <c r="G1080" s="147"/>
      <c r="H1080" s="147"/>
      <c r="I1080" s="147"/>
      <c r="J1080" s="147"/>
      <c r="K1080" s="147"/>
      <c r="L1080" s="147"/>
      <c r="M1080" s="147"/>
      <c r="N1080" s="147"/>
      <c r="O1080" s="158"/>
      <c r="P1080" s="147"/>
      <c r="Q1080" s="147"/>
      <c r="R1080" s="147"/>
      <c r="S1080" s="147"/>
      <c r="T1080" s="147"/>
      <c r="U1080" s="147"/>
      <c r="V1080" s="147"/>
      <c r="W1080" s="147"/>
      <c r="X1080" s="147"/>
      <c r="Y1080" s="147"/>
      <c r="Z1080" s="147"/>
      <c r="AA1080" s="147"/>
      <c r="AB1080" s="147"/>
      <c r="AC1080" s="147"/>
      <c r="AD1080" s="147"/>
      <c r="AE1080" s="147"/>
      <c r="AF1080" s="147"/>
      <c r="AG1080" s="147"/>
      <c r="AH1080" s="147"/>
      <c r="AI1080" s="147"/>
      <c r="AJ1080" s="147"/>
      <c r="AK1080" s="147"/>
      <c r="AL1080" s="147"/>
      <c r="AM1080" s="147"/>
      <c r="AN1080" s="147"/>
      <c r="AO1080" s="147"/>
      <c r="AP1080" s="147"/>
      <c r="AQ1080" s="147"/>
      <c r="AR1080" s="147"/>
      <c r="AS1080" s="147"/>
      <c r="AT1080" s="147"/>
      <c r="AU1080" s="147"/>
      <c r="AV1080" s="147"/>
      <c r="AW1080" s="147"/>
      <c r="AX1080" s="147"/>
      <c r="AY1080" s="147"/>
      <c r="AZ1080" s="147"/>
      <c r="BA1080" s="147"/>
      <c r="BB1080" s="147"/>
      <c r="BC1080" s="147"/>
      <c r="BD1080" s="147"/>
      <c r="BE1080" s="147"/>
      <c r="BF1080" s="147"/>
      <c r="BG1080" s="147"/>
      <c r="BH1080" s="147"/>
      <c r="BI1080" s="147"/>
      <c r="BJ1080" s="147"/>
      <c r="BK1080" s="147"/>
      <c r="BL1080" s="147"/>
      <c r="BM1080" s="147"/>
      <c r="BN1080" s="147"/>
      <c r="BO1080" s="147"/>
      <c r="BP1080" s="147"/>
      <c r="BQ1080" s="147"/>
      <c r="BR1080" s="147"/>
      <c r="BS1080" s="147"/>
      <c r="BT1080" s="147"/>
      <c r="BU1080" s="147"/>
      <c r="BV1080" s="147"/>
      <c r="BW1080" s="147"/>
      <c r="BX1080" s="147"/>
      <c r="BY1080" s="147"/>
      <c r="BZ1080" s="147"/>
      <c r="CA1080" s="147"/>
      <c r="CB1080" s="147"/>
      <c r="CC1080" s="147"/>
      <c r="CD1080" s="147"/>
      <c r="CE1080" s="147"/>
      <c r="CF1080" s="147"/>
      <c r="CG1080" s="147"/>
      <c r="CH1080" s="147"/>
      <c r="CI1080" s="147"/>
      <c r="CJ1080" s="147"/>
      <c r="CK1080" s="147"/>
    </row>
    <row r="1081" spans="1:89">
      <c r="A1081" s="147"/>
      <c r="B1081" s="147"/>
      <c r="C1081" s="147"/>
      <c r="D1081" s="147"/>
      <c r="E1081" s="147"/>
      <c r="F1081" s="147"/>
      <c r="G1081" s="147"/>
      <c r="H1081" s="147"/>
      <c r="I1081" s="147"/>
      <c r="J1081" s="147"/>
      <c r="K1081" s="147"/>
      <c r="L1081" s="147"/>
      <c r="M1081" s="147"/>
      <c r="N1081" s="147"/>
      <c r="O1081" s="158"/>
      <c r="P1081" s="147"/>
      <c r="Q1081" s="147"/>
      <c r="R1081" s="147"/>
      <c r="S1081" s="147"/>
      <c r="T1081" s="147"/>
      <c r="U1081" s="147"/>
      <c r="V1081" s="147"/>
      <c r="W1081" s="147"/>
      <c r="X1081" s="147"/>
      <c r="Y1081" s="147"/>
      <c r="Z1081" s="147"/>
      <c r="AA1081" s="147"/>
      <c r="AB1081" s="147"/>
      <c r="AC1081" s="147"/>
      <c r="AD1081" s="147"/>
      <c r="AE1081" s="147"/>
      <c r="AF1081" s="147"/>
      <c r="AG1081" s="147"/>
      <c r="AH1081" s="147"/>
      <c r="AI1081" s="147"/>
      <c r="AJ1081" s="147"/>
      <c r="AK1081" s="147"/>
      <c r="AL1081" s="147"/>
      <c r="AM1081" s="147"/>
      <c r="AN1081" s="147"/>
      <c r="AO1081" s="147"/>
      <c r="AP1081" s="147"/>
      <c r="AQ1081" s="147"/>
      <c r="AR1081" s="147"/>
      <c r="AS1081" s="147"/>
      <c r="AT1081" s="147"/>
      <c r="AU1081" s="147"/>
      <c r="AV1081" s="147"/>
      <c r="AW1081" s="147"/>
      <c r="AX1081" s="147"/>
      <c r="AY1081" s="147"/>
      <c r="AZ1081" s="147"/>
      <c r="BA1081" s="147"/>
      <c r="BB1081" s="147"/>
      <c r="BC1081" s="147"/>
      <c r="BD1081" s="147"/>
      <c r="BE1081" s="147"/>
      <c r="BF1081" s="147"/>
      <c r="BG1081" s="147"/>
      <c r="BH1081" s="147"/>
      <c r="BI1081" s="147"/>
      <c r="BJ1081" s="147"/>
      <c r="BK1081" s="147"/>
      <c r="BL1081" s="147"/>
      <c r="BM1081" s="147"/>
      <c r="BN1081" s="147"/>
      <c r="BO1081" s="147"/>
      <c r="BP1081" s="147"/>
      <c r="BQ1081" s="147"/>
      <c r="BR1081" s="147"/>
      <c r="BS1081" s="147"/>
      <c r="BT1081" s="147"/>
      <c r="BU1081" s="147"/>
      <c r="BV1081" s="147"/>
      <c r="BW1081" s="147"/>
      <c r="BX1081" s="147"/>
      <c r="BY1081" s="147"/>
      <c r="BZ1081" s="147"/>
      <c r="CA1081" s="147"/>
      <c r="CB1081" s="147"/>
      <c r="CC1081" s="147"/>
      <c r="CD1081" s="147"/>
      <c r="CE1081" s="147"/>
      <c r="CF1081" s="147"/>
      <c r="CG1081" s="147"/>
      <c r="CH1081" s="147"/>
      <c r="CI1081" s="147"/>
      <c r="CJ1081" s="147"/>
      <c r="CK1081" s="147"/>
    </row>
    <row r="1082" spans="1:89">
      <c r="A1082" s="147"/>
      <c r="B1082" s="147"/>
      <c r="C1082" s="147"/>
      <c r="D1082" s="147"/>
      <c r="E1082" s="147"/>
      <c r="F1082" s="147"/>
      <c r="G1082" s="147"/>
      <c r="H1082" s="147"/>
      <c r="I1082" s="147"/>
      <c r="J1082" s="147"/>
      <c r="K1082" s="147"/>
      <c r="L1082" s="147"/>
      <c r="M1082" s="147"/>
      <c r="N1082" s="147"/>
      <c r="O1082" s="158"/>
      <c r="P1082" s="147"/>
      <c r="Q1082" s="147"/>
      <c r="R1082" s="147"/>
      <c r="S1082" s="147"/>
      <c r="T1082" s="147"/>
      <c r="U1082" s="147"/>
      <c r="V1082" s="147"/>
      <c r="W1082" s="147"/>
      <c r="X1082" s="147"/>
      <c r="Y1082" s="147"/>
      <c r="Z1082" s="147"/>
      <c r="AA1082" s="147"/>
      <c r="AB1082" s="147"/>
      <c r="AC1082" s="147"/>
      <c r="AD1082" s="147"/>
      <c r="AE1082" s="147"/>
      <c r="AF1082" s="147"/>
      <c r="AG1082" s="147"/>
      <c r="AH1082" s="147"/>
      <c r="AI1082" s="147"/>
      <c r="AJ1082" s="147"/>
      <c r="AK1082" s="147"/>
      <c r="AL1082" s="147"/>
      <c r="AM1082" s="147"/>
      <c r="AN1082" s="147"/>
      <c r="AO1082" s="147"/>
      <c r="AP1082" s="147"/>
      <c r="AQ1082" s="147"/>
      <c r="AR1082" s="147"/>
      <c r="AS1082" s="147"/>
      <c r="AT1082" s="147"/>
      <c r="AU1082" s="147"/>
      <c r="AV1082" s="147"/>
      <c r="AW1082" s="147"/>
      <c r="AX1082" s="147"/>
      <c r="AY1082" s="147"/>
      <c r="AZ1082" s="147"/>
      <c r="BA1082" s="147"/>
      <c r="BB1082" s="147"/>
      <c r="BC1082" s="147"/>
      <c r="BD1082" s="147"/>
      <c r="BE1082" s="147"/>
      <c r="BF1082" s="147"/>
      <c r="BG1082" s="147"/>
      <c r="BH1082" s="147"/>
      <c r="BI1082" s="147"/>
      <c r="BJ1082" s="147"/>
      <c r="BK1082" s="147"/>
      <c r="BL1082" s="147"/>
      <c r="BM1082" s="147"/>
      <c r="BN1082" s="147"/>
      <c r="BO1082" s="147"/>
      <c r="BP1082" s="147"/>
      <c r="BQ1082" s="147"/>
      <c r="BR1082" s="147"/>
      <c r="BS1082" s="147"/>
      <c r="BT1082" s="147"/>
      <c r="BU1082" s="147"/>
      <c r="BV1082" s="147"/>
      <c r="BW1082" s="147"/>
      <c r="BX1082" s="147"/>
      <c r="BY1082" s="147"/>
      <c r="BZ1082" s="147"/>
      <c r="CA1082" s="147"/>
      <c r="CB1082" s="147"/>
      <c r="CC1082" s="147"/>
      <c r="CD1082" s="147"/>
      <c r="CE1082" s="147"/>
      <c r="CF1082" s="147"/>
      <c r="CG1082" s="147"/>
      <c r="CH1082" s="147"/>
      <c r="CI1082" s="147"/>
      <c r="CJ1082" s="147"/>
      <c r="CK1082" s="147"/>
    </row>
    <row r="1083" spans="1:89">
      <c r="A1083" s="147"/>
      <c r="B1083" s="147"/>
      <c r="C1083" s="147"/>
      <c r="D1083" s="147"/>
      <c r="E1083" s="147"/>
      <c r="F1083" s="147"/>
      <c r="G1083" s="147"/>
      <c r="H1083" s="147"/>
      <c r="I1083" s="147"/>
      <c r="J1083" s="147"/>
      <c r="K1083" s="147"/>
      <c r="L1083" s="147"/>
      <c r="M1083" s="147"/>
      <c r="N1083" s="147"/>
      <c r="O1083" s="158"/>
      <c r="P1083" s="147"/>
      <c r="Q1083" s="147"/>
      <c r="R1083" s="147"/>
      <c r="S1083" s="147"/>
      <c r="T1083" s="147"/>
      <c r="U1083" s="147"/>
      <c r="V1083" s="147"/>
      <c r="W1083" s="147"/>
      <c r="X1083" s="147"/>
      <c r="Y1083" s="147"/>
      <c r="Z1083" s="147"/>
      <c r="AA1083" s="147"/>
      <c r="AB1083" s="147"/>
      <c r="AC1083" s="147"/>
      <c r="AD1083" s="147"/>
      <c r="AE1083" s="147"/>
      <c r="AF1083" s="147"/>
      <c r="AG1083" s="147"/>
      <c r="AH1083" s="147"/>
      <c r="AI1083" s="147"/>
      <c r="AJ1083" s="147"/>
      <c r="AK1083" s="147"/>
      <c r="AL1083" s="147"/>
      <c r="AM1083" s="147"/>
      <c r="AN1083" s="147"/>
      <c r="AO1083" s="147"/>
      <c r="AP1083" s="147"/>
      <c r="AQ1083" s="147"/>
      <c r="AR1083" s="147"/>
      <c r="AS1083" s="147"/>
      <c r="AT1083" s="147"/>
      <c r="AU1083" s="147"/>
      <c r="AV1083" s="147"/>
      <c r="AW1083" s="147"/>
      <c r="AX1083" s="147"/>
      <c r="AY1083" s="147"/>
      <c r="AZ1083" s="147"/>
      <c r="BA1083" s="147"/>
      <c r="BB1083" s="147"/>
      <c r="BC1083" s="147"/>
      <c r="BD1083" s="147"/>
      <c r="BE1083" s="147"/>
      <c r="BF1083" s="147"/>
      <c r="BG1083" s="147"/>
      <c r="BH1083" s="147"/>
      <c r="BI1083" s="147"/>
      <c r="BJ1083" s="147"/>
      <c r="BK1083" s="147"/>
      <c r="BL1083" s="147"/>
      <c r="BM1083" s="147"/>
      <c r="BN1083" s="147"/>
      <c r="BO1083" s="147"/>
      <c r="BP1083" s="147"/>
      <c r="BQ1083" s="147"/>
      <c r="BR1083" s="147"/>
      <c r="BS1083" s="147"/>
      <c r="BT1083" s="147"/>
      <c r="BU1083" s="147"/>
      <c r="BV1083" s="147"/>
      <c r="BW1083" s="147"/>
      <c r="BX1083" s="147"/>
      <c r="BY1083" s="147"/>
      <c r="BZ1083" s="147"/>
      <c r="CA1083" s="147"/>
      <c r="CB1083" s="147"/>
      <c r="CC1083" s="147"/>
      <c r="CD1083" s="147"/>
      <c r="CE1083" s="147"/>
      <c r="CF1083" s="147"/>
      <c r="CG1083" s="147"/>
      <c r="CH1083" s="147"/>
      <c r="CI1083" s="147"/>
      <c r="CJ1083" s="147"/>
      <c r="CK1083" s="147"/>
    </row>
    <row r="1084" spans="1:89">
      <c r="A1084" s="147"/>
      <c r="B1084" s="147"/>
      <c r="C1084" s="147"/>
      <c r="D1084" s="147"/>
      <c r="E1084" s="147"/>
      <c r="F1084" s="147"/>
      <c r="G1084" s="147"/>
      <c r="H1084" s="147"/>
      <c r="I1084" s="147"/>
      <c r="J1084" s="147"/>
      <c r="K1084" s="147"/>
      <c r="L1084" s="147"/>
      <c r="M1084" s="147"/>
      <c r="N1084" s="147"/>
      <c r="O1084" s="158"/>
      <c r="P1084" s="147"/>
      <c r="Q1084" s="147"/>
      <c r="R1084" s="147"/>
      <c r="S1084" s="147"/>
      <c r="T1084" s="147"/>
      <c r="U1084" s="147"/>
      <c r="V1084" s="147"/>
      <c r="W1084" s="147"/>
      <c r="X1084" s="147"/>
      <c r="Y1084" s="147"/>
      <c r="Z1084" s="147"/>
      <c r="AA1084" s="147"/>
      <c r="AB1084" s="147"/>
      <c r="AC1084" s="147"/>
      <c r="AD1084" s="147"/>
      <c r="AE1084" s="147"/>
      <c r="AF1084" s="147"/>
      <c r="AG1084" s="147"/>
      <c r="AH1084" s="147"/>
      <c r="AI1084" s="147"/>
      <c r="AJ1084" s="147"/>
      <c r="AK1084" s="147"/>
      <c r="AL1084" s="147"/>
      <c r="AM1084" s="147"/>
      <c r="AN1084" s="147"/>
      <c r="AO1084" s="147"/>
      <c r="AP1084" s="147"/>
      <c r="AQ1084" s="147"/>
      <c r="AR1084" s="147"/>
      <c r="AS1084" s="147"/>
      <c r="AT1084" s="147"/>
      <c r="AU1084" s="147"/>
      <c r="AV1084" s="147"/>
      <c r="AW1084" s="147"/>
      <c r="AX1084" s="147"/>
      <c r="AY1084" s="147"/>
      <c r="AZ1084" s="147"/>
      <c r="BA1084" s="147"/>
      <c r="BB1084" s="147"/>
      <c r="BC1084" s="147"/>
      <c r="BD1084" s="147"/>
      <c r="BE1084" s="147"/>
      <c r="BF1084" s="147"/>
      <c r="BG1084" s="147"/>
      <c r="BH1084" s="147"/>
      <c r="BI1084" s="147"/>
      <c r="BJ1084" s="147"/>
      <c r="BK1084" s="147"/>
      <c r="BL1084" s="147"/>
      <c r="BM1084" s="147"/>
      <c r="BN1084" s="147"/>
      <c r="BO1084" s="147"/>
      <c r="BP1084" s="147"/>
      <c r="BQ1084" s="147"/>
      <c r="BR1084" s="147"/>
      <c r="BS1084" s="147"/>
      <c r="BT1084" s="147"/>
      <c r="BU1084" s="147"/>
      <c r="BV1084" s="147"/>
      <c r="BW1084" s="147"/>
      <c r="BX1084" s="147"/>
      <c r="BY1084" s="147"/>
      <c r="BZ1084" s="147"/>
      <c r="CA1084" s="147"/>
      <c r="CB1084" s="147"/>
      <c r="CC1084" s="147"/>
      <c r="CD1084" s="147"/>
      <c r="CE1084" s="147"/>
      <c r="CF1084" s="147"/>
      <c r="CG1084" s="147"/>
      <c r="CH1084" s="147"/>
      <c r="CI1084" s="147"/>
      <c r="CJ1084" s="147"/>
      <c r="CK1084" s="147"/>
    </row>
    <row r="1085" spans="1:89">
      <c r="A1085" s="147"/>
      <c r="B1085" s="147"/>
      <c r="C1085" s="147"/>
      <c r="D1085" s="147"/>
      <c r="E1085" s="147"/>
      <c r="F1085" s="147"/>
      <c r="G1085" s="147"/>
      <c r="H1085" s="147"/>
      <c r="I1085" s="147"/>
      <c r="J1085" s="147"/>
      <c r="K1085" s="147"/>
      <c r="L1085" s="147"/>
      <c r="M1085" s="147"/>
      <c r="N1085" s="147"/>
      <c r="O1085" s="158"/>
      <c r="P1085" s="147"/>
      <c r="Q1085" s="147"/>
      <c r="R1085" s="147"/>
      <c r="S1085" s="147"/>
      <c r="T1085" s="147"/>
      <c r="U1085" s="147"/>
      <c r="V1085" s="147"/>
      <c r="W1085" s="147"/>
      <c r="X1085" s="147"/>
      <c r="Y1085" s="147"/>
      <c r="Z1085" s="147"/>
      <c r="AA1085" s="147"/>
      <c r="AB1085" s="147"/>
      <c r="AC1085" s="147"/>
      <c r="AD1085" s="147"/>
      <c r="AE1085" s="147"/>
      <c r="AF1085" s="147"/>
      <c r="AG1085" s="147"/>
      <c r="AH1085" s="147"/>
      <c r="AI1085" s="147"/>
      <c r="AJ1085" s="147"/>
      <c r="AK1085" s="147"/>
      <c r="AL1085" s="147"/>
      <c r="AM1085" s="147"/>
      <c r="AN1085" s="147"/>
      <c r="AO1085" s="147"/>
      <c r="AP1085" s="147"/>
      <c r="AQ1085" s="147"/>
      <c r="AR1085" s="147"/>
      <c r="AS1085" s="147"/>
      <c r="AT1085" s="147"/>
      <c r="AU1085" s="147"/>
      <c r="AV1085" s="147"/>
      <c r="AW1085" s="147"/>
      <c r="AX1085" s="147"/>
      <c r="AY1085" s="147"/>
      <c r="AZ1085" s="147"/>
      <c r="BA1085" s="147"/>
      <c r="BB1085" s="147"/>
      <c r="BC1085" s="147"/>
      <c r="BD1085" s="147"/>
      <c r="BE1085" s="147"/>
      <c r="BF1085" s="147"/>
      <c r="BG1085" s="147"/>
      <c r="BH1085" s="147"/>
      <c r="BI1085" s="147"/>
      <c r="BJ1085" s="147"/>
      <c r="BK1085" s="147"/>
      <c r="BL1085" s="147"/>
      <c r="BM1085" s="147"/>
      <c r="BN1085" s="147"/>
      <c r="BO1085" s="147"/>
      <c r="BP1085" s="147"/>
      <c r="BQ1085" s="147"/>
      <c r="BR1085" s="147"/>
      <c r="BS1085" s="147"/>
      <c r="BT1085" s="147"/>
      <c r="BU1085" s="147"/>
      <c r="BV1085" s="147"/>
      <c r="BW1085" s="147"/>
      <c r="BX1085" s="147"/>
      <c r="BY1085" s="147"/>
      <c r="BZ1085" s="147"/>
      <c r="CA1085" s="147"/>
      <c r="CB1085" s="147"/>
      <c r="CC1085" s="147"/>
      <c r="CD1085" s="147"/>
      <c r="CE1085" s="147"/>
      <c r="CF1085" s="147"/>
      <c r="CG1085" s="147"/>
      <c r="CH1085" s="147"/>
      <c r="CI1085" s="147"/>
      <c r="CJ1085" s="147"/>
      <c r="CK1085" s="147"/>
    </row>
    <row r="1086" spans="1:89">
      <c r="A1086" s="147"/>
      <c r="B1086" s="147"/>
      <c r="C1086" s="147"/>
      <c r="D1086" s="147"/>
      <c r="E1086" s="147"/>
      <c r="F1086" s="147"/>
      <c r="G1086" s="147"/>
      <c r="H1086" s="147"/>
      <c r="I1086" s="147"/>
      <c r="J1086" s="147"/>
      <c r="K1086" s="147"/>
      <c r="L1086" s="147"/>
      <c r="M1086" s="147"/>
      <c r="N1086" s="147"/>
      <c r="O1086" s="158"/>
      <c r="P1086" s="147"/>
      <c r="Q1086" s="147"/>
      <c r="R1086" s="147"/>
      <c r="S1086" s="147"/>
      <c r="T1086" s="147"/>
      <c r="U1086" s="147"/>
      <c r="V1086" s="147"/>
      <c r="W1086" s="147"/>
      <c r="X1086" s="147"/>
      <c r="Y1086" s="147"/>
      <c r="Z1086" s="147"/>
      <c r="AA1086" s="147"/>
      <c r="AB1086" s="147"/>
      <c r="AC1086" s="147"/>
      <c r="AD1086" s="147"/>
      <c r="AE1086" s="147"/>
      <c r="AF1086" s="147"/>
      <c r="AG1086" s="147"/>
      <c r="AH1086" s="147"/>
      <c r="AI1086" s="147"/>
      <c r="AJ1086" s="147"/>
      <c r="AK1086" s="147"/>
      <c r="AL1086" s="147"/>
      <c r="AM1086" s="147"/>
      <c r="AN1086" s="147"/>
      <c r="AO1086" s="147"/>
      <c r="AP1086" s="147"/>
      <c r="AQ1086" s="147"/>
      <c r="AR1086" s="147"/>
      <c r="AS1086" s="147"/>
      <c r="AT1086" s="147"/>
      <c r="AU1086" s="147"/>
      <c r="AV1086" s="147"/>
      <c r="AW1086" s="147"/>
      <c r="AX1086" s="147"/>
      <c r="AY1086" s="147"/>
      <c r="AZ1086" s="147"/>
      <c r="BA1086" s="147"/>
      <c r="BB1086" s="147"/>
      <c r="BC1086" s="147"/>
      <c r="BD1086" s="147"/>
      <c r="BE1086" s="147"/>
      <c r="BF1086" s="147"/>
      <c r="BG1086" s="147"/>
      <c r="BH1086" s="147"/>
      <c r="BI1086" s="147"/>
      <c r="BJ1086" s="147"/>
      <c r="BK1086" s="147"/>
      <c r="BL1086" s="147"/>
      <c r="BM1086" s="147"/>
      <c r="BN1086" s="147"/>
      <c r="BO1086" s="147"/>
      <c r="BP1086" s="147"/>
      <c r="BQ1086" s="147"/>
      <c r="BR1086" s="147"/>
      <c r="BS1086" s="147"/>
      <c r="BT1086" s="147"/>
      <c r="BU1086" s="147"/>
      <c r="BV1086" s="147"/>
      <c r="BW1086" s="147"/>
      <c r="BX1086" s="147"/>
      <c r="BY1086" s="147"/>
      <c r="BZ1086" s="147"/>
      <c r="CA1086" s="147"/>
      <c r="CB1086" s="147"/>
      <c r="CC1086" s="147"/>
      <c r="CD1086" s="147"/>
      <c r="CE1086" s="147"/>
      <c r="CF1086" s="147"/>
      <c r="CG1086" s="147"/>
      <c r="CH1086" s="147"/>
      <c r="CI1086" s="147"/>
      <c r="CJ1086" s="147"/>
      <c r="CK1086" s="147"/>
    </row>
    <row r="1087" spans="1:89">
      <c r="A1087" s="147"/>
      <c r="B1087" s="147"/>
      <c r="C1087" s="147"/>
      <c r="D1087" s="147"/>
      <c r="E1087" s="147"/>
      <c r="F1087" s="147"/>
      <c r="G1087" s="147"/>
      <c r="H1087" s="147"/>
      <c r="I1087" s="147"/>
      <c r="J1087" s="147"/>
      <c r="K1087" s="147"/>
      <c r="L1087" s="147"/>
      <c r="M1087" s="147"/>
      <c r="N1087" s="147"/>
      <c r="O1087" s="158"/>
      <c r="P1087" s="147"/>
      <c r="Q1087" s="147"/>
      <c r="R1087" s="147"/>
      <c r="S1087" s="147"/>
      <c r="T1087" s="147"/>
      <c r="U1087" s="147"/>
      <c r="V1087" s="147"/>
      <c r="W1087" s="147"/>
      <c r="X1087" s="147"/>
      <c r="Y1087" s="147"/>
      <c r="Z1087" s="147"/>
      <c r="AA1087" s="147"/>
      <c r="AB1087" s="147"/>
      <c r="AC1087" s="147"/>
      <c r="AD1087" s="147"/>
      <c r="AE1087" s="147"/>
      <c r="AF1087" s="147"/>
      <c r="AG1087" s="147"/>
      <c r="AH1087" s="147"/>
      <c r="AI1087" s="147"/>
      <c r="AJ1087" s="147"/>
      <c r="AK1087" s="147"/>
      <c r="AL1087" s="147"/>
      <c r="AM1087" s="147"/>
      <c r="AN1087" s="147"/>
      <c r="AO1087" s="147"/>
      <c r="AP1087" s="147"/>
      <c r="AQ1087" s="147"/>
      <c r="AR1087" s="147"/>
      <c r="AS1087" s="147"/>
      <c r="AT1087" s="147"/>
      <c r="AU1087" s="147"/>
      <c r="AV1087" s="147"/>
      <c r="AW1087" s="147"/>
      <c r="AX1087" s="147"/>
      <c r="AY1087" s="147"/>
      <c r="AZ1087" s="147"/>
      <c r="BA1087" s="147"/>
      <c r="BB1087" s="147"/>
      <c r="BC1087" s="147"/>
      <c r="BD1087" s="147"/>
      <c r="BE1087" s="147"/>
      <c r="BF1087" s="147"/>
      <c r="BG1087" s="147"/>
      <c r="BH1087" s="147"/>
      <c r="BI1087" s="147"/>
      <c r="BJ1087" s="147"/>
      <c r="BK1087" s="147"/>
      <c r="BL1087" s="147"/>
      <c r="BM1087" s="147"/>
      <c r="BN1087" s="147"/>
      <c r="BO1087" s="147"/>
      <c r="BP1087" s="147"/>
      <c r="BQ1087" s="147"/>
      <c r="BR1087" s="147"/>
      <c r="BS1087" s="147"/>
      <c r="BT1087" s="147"/>
      <c r="BU1087" s="147"/>
      <c r="BV1087" s="147"/>
      <c r="BW1087" s="147"/>
      <c r="BX1087" s="147"/>
      <c r="BY1087" s="147"/>
      <c r="BZ1087" s="147"/>
      <c r="CA1087" s="147"/>
      <c r="CB1087" s="147"/>
      <c r="CC1087" s="147"/>
      <c r="CD1087" s="147"/>
      <c r="CE1087" s="147"/>
      <c r="CF1087" s="147"/>
      <c r="CG1087" s="147"/>
      <c r="CH1087" s="147"/>
      <c r="CI1087" s="147"/>
      <c r="CJ1087" s="147"/>
      <c r="CK1087" s="147"/>
    </row>
    <row r="1088" spans="1:89">
      <c r="A1088" s="147"/>
      <c r="B1088" s="147"/>
      <c r="C1088" s="147"/>
      <c r="D1088" s="147"/>
      <c r="E1088" s="147"/>
      <c r="F1088" s="147"/>
      <c r="G1088" s="147"/>
      <c r="H1088" s="147"/>
      <c r="I1088" s="147"/>
      <c r="J1088" s="147"/>
      <c r="K1088" s="147"/>
      <c r="L1088" s="147"/>
      <c r="M1088" s="147"/>
      <c r="N1088" s="147"/>
      <c r="O1088" s="158"/>
      <c r="P1088" s="147"/>
      <c r="Q1088" s="147"/>
      <c r="R1088" s="147"/>
      <c r="S1088" s="147"/>
      <c r="T1088" s="147"/>
      <c r="U1088" s="147"/>
      <c r="V1088" s="147"/>
      <c r="W1088" s="147"/>
      <c r="X1088" s="147"/>
      <c r="Y1088" s="147"/>
      <c r="Z1088" s="147"/>
      <c r="AA1088" s="147"/>
      <c r="AB1088" s="147"/>
      <c r="AC1088" s="147"/>
      <c r="AD1088" s="147"/>
      <c r="AE1088" s="147"/>
      <c r="AF1088" s="147"/>
      <c r="AG1088" s="147"/>
      <c r="AH1088" s="147"/>
      <c r="AI1088" s="147"/>
      <c r="AJ1088" s="147"/>
      <c r="AK1088" s="147"/>
      <c r="AL1088" s="147"/>
      <c r="AM1088" s="147"/>
      <c r="AN1088" s="147"/>
      <c r="AO1088" s="147"/>
      <c r="AP1088" s="147"/>
      <c r="AQ1088" s="147"/>
      <c r="AR1088" s="147"/>
      <c r="AS1088" s="147"/>
      <c r="AT1088" s="147"/>
      <c r="AU1088" s="147"/>
      <c r="AV1088" s="147"/>
      <c r="AW1088" s="147"/>
      <c r="AX1088" s="147"/>
      <c r="AY1088" s="147"/>
      <c r="AZ1088" s="147"/>
      <c r="BA1088" s="147"/>
      <c r="BB1088" s="147"/>
      <c r="BC1088" s="147"/>
      <c r="BD1088" s="147"/>
      <c r="BE1088" s="147"/>
      <c r="BF1088" s="147"/>
      <c r="BG1088" s="147"/>
      <c r="BH1088" s="147"/>
      <c r="BI1088" s="147"/>
      <c r="BJ1088" s="147"/>
      <c r="BK1088" s="147"/>
      <c r="BL1088" s="147"/>
      <c r="BM1088" s="147"/>
      <c r="BN1088" s="147"/>
      <c r="BO1088" s="147"/>
      <c r="BP1088" s="147"/>
      <c r="BQ1088" s="147"/>
      <c r="BR1088" s="147"/>
      <c r="BS1088" s="147"/>
      <c r="BT1088" s="147"/>
      <c r="BU1088" s="147"/>
      <c r="BV1088" s="147"/>
      <c r="BW1088" s="147"/>
      <c r="BX1088" s="147"/>
      <c r="BY1088" s="147"/>
      <c r="BZ1088" s="147"/>
      <c r="CA1088" s="147"/>
      <c r="CB1088" s="147"/>
      <c r="CC1088" s="147"/>
      <c r="CD1088" s="147"/>
      <c r="CE1088" s="147"/>
      <c r="CF1088" s="147"/>
      <c r="CG1088" s="147"/>
      <c r="CH1088" s="147"/>
      <c r="CI1088" s="147"/>
      <c r="CJ1088" s="147"/>
      <c r="CK1088" s="147"/>
    </row>
    <row r="1089" spans="1:89">
      <c r="A1089" s="147"/>
      <c r="B1089" s="147"/>
      <c r="C1089" s="147"/>
      <c r="D1089" s="147"/>
      <c r="E1089" s="147"/>
      <c r="F1089" s="147"/>
      <c r="G1089" s="147"/>
      <c r="H1089" s="147"/>
      <c r="I1089" s="147"/>
      <c r="J1089" s="147"/>
      <c r="K1089" s="147"/>
      <c r="L1089" s="147"/>
      <c r="M1089" s="147"/>
      <c r="N1089" s="147"/>
      <c r="O1089" s="158"/>
      <c r="P1089" s="147"/>
      <c r="Q1089" s="147"/>
      <c r="R1089" s="147"/>
      <c r="S1089" s="147"/>
      <c r="T1089" s="147"/>
      <c r="U1089" s="147"/>
      <c r="V1089" s="147"/>
      <c r="W1089" s="147"/>
      <c r="X1089" s="147"/>
      <c r="Y1089" s="147"/>
      <c r="Z1089" s="147"/>
      <c r="AA1089" s="147"/>
      <c r="AB1089" s="147"/>
      <c r="AC1089" s="147"/>
      <c r="AD1089" s="147"/>
      <c r="AE1089" s="147"/>
      <c r="AF1089" s="147"/>
      <c r="AG1089" s="147"/>
      <c r="AH1089" s="147"/>
      <c r="AI1089" s="147"/>
      <c r="AJ1089" s="147"/>
      <c r="AK1089" s="147"/>
      <c r="AL1089" s="147"/>
      <c r="AM1089" s="147"/>
      <c r="AN1089" s="147"/>
      <c r="AO1089" s="147"/>
      <c r="AP1089" s="147"/>
      <c r="AQ1089" s="147"/>
      <c r="AR1089" s="147"/>
      <c r="AS1089" s="147"/>
      <c r="AT1089" s="147"/>
      <c r="AU1089" s="147"/>
      <c r="AV1089" s="147"/>
      <c r="AW1089" s="147"/>
      <c r="AX1089" s="147"/>
      <c r="AY1089" s="147"/>
      <c r="AZ1089" s="147"/>
      <c r="BA1089" s="147"/>
      <c r="BB1089" s="147"/>
      <c r="BC1089" s="147"/>
      <c r="BD1089" s="147"/>
      <c r="BE1089" s="147"/>
      <c r="BF1089" s="147"/>
      <c r="BG1089" s="147"/>
      <c r="BH1089" s="147"/>
      <c r="BI1089" s="147"/>
      <c r="BJ1089" s="147"/>
      <c r="BK1089" s="147"/>
      <c r="BL1089" s="147"/>
      <c r="BM1089" s="147"/>
      <c r="BN1089" s="147"/>
      <c r="BO1089" s="147"/>
      <c r="BP1089" s="147"/>
      <c r="BQ1089" s="147"/>
      <c r="BR1089" s="147"/>
      <c r="BS1089" s="147"/>
      <c r="BT1089" s="147"/>
      <c r="BU1089" s="147"/>
      <c r="BV1089" s="147"/>
      <c r="BW1089" s="147"/>
      <c r="BX1089" s="147"/>
      <c r="BY1089" s="147"/>
      <c r="BZ1089" s="147"/>
      <c r="CA1089" s="147"/>
      <c r="CB1089" s="147"/>
      <c r="CC1089" s="147"/>
      <c r="CD1089" s="147"/>
      <c r="CE1089" s="147"/>
      <c r="CF1089" s="147"/>
      <c r="CG1089" s="147"/>
      <c r="CH1089" s="147"/>
      <c r="CI1089" s="147"/>
      <c r="CJ1089" s="147"/>
      <c r="CK1089" s="147"/>
    </row>
    <row r="1090" spans="1:89">
      <c r="A1090" s="147"/>
      <c r="B1090" s="147"/>
      <c r="C1090" s="147"/>
      <c r="D1090" s="147"/>
      <c r="E1090" s="147"/>
      <c r="F1090" s="147"/>
      <c r="G1090" s="147"/>
      <c r="H1090" s="147"/>
      <c r="I1090" s="147"/>
      <c r="J1090" s="147"/>
      <c r="K1090" s="147"/>
      <c r="L1090" s="147"/>
      <c r="M1090" s="147"/>
      <c r="N1090" s="147"/>
      <c r="O1090" s="158"/>
      <c r="P1090" s="147"/>
      <c r="Q1090" s="147"/>
      <c r="R1090" s="147"/>
      <c r="S1090" s="147"/>
      <c r="T1090" s="147"/>
      <c r="U1090" s="147"/>
      <c r="V1090" s="147"/>
      <c r="W1090" s="147"/>
      <c r="X1090" s="147"/>
      <c r="Y1090" s="147"/>
      <c r="Z1090" s="147"/>
      <c r="AA1090" s="147"/>
      <c r="AB1090" s="147"/>
      <c r="AC1090" s="147"/>
      <c r="AD1090" s="147"/>
      <c r="AE1090" s="147"/>
      <c r="AF1090" s="147"/>
      <c r="AG1090" s="147"/>
      <c r="AH1090" s="147"/>
      <c r="AI1090" s="147"/>
      <c r="AJ1090" s="147"/>
      <c r="AK1090" s="147"/>
      <c r="AL1090" s="147"/>
      <c r="AM1090" s="147"/>
      <c r="AN1090" s="147"/>
      <c r="AO1090" s="147"/>
      <c r="AP1090" s="147"/>
      <c r="AQ1090" s="147"/>
      <c r="AR1090" s="147"/>
      <c r="AS1090" s="147"/>
      <c r="AT1090" s="147"/>
      <c r="AU1090" s="147"/>
      <c r="AV1090" s="147"/>
      <c r="AW1090" s="147"/>
      <c r="AX1090" s="147"/>
      <c r="AY1090" s="147"/>
      <c r="AZ1090" s="147"/>
      <c r="BA1090" s="147"/>
      <c r="BB1090" s="147"/>
      <c r="BC1090" s="147"/>
      <c r="BD1090" s="147"/>
      <c r="BE1090" s="147"/>
      <c r="BF1090" s="147"/>
      <c r="BG1090" s="147"/>
      <c r="BH1090" s="147"/>
      <c r="BI1090" s="147"/>
      <c r="BJ1090" s="147"/>
      <c r="BK1090" s="147"/>
      <c r="BL1090" s="147"/>
      <c r="BM1090" s="147"/>
      <c r="BN1090" s="147"/>
      <c r="BO1090" s="147"/>
      <c r="BP1090" s="147"/>
      <c r="BQ1090" s="147"/>
      <c r="BR1090" s="147"/>
      <c r="BS1090" s="147"/>
      <c r="BT1090" s="147"/>
      <c r="BU1090" s="147"/>
      <c r="BV1090" s="147"/>
      <c r="BW1090" s="147"/>
      <c r="BX1090" s="147"/>
      <c r="BY1090" s="147"/>
      <c r="BZ1090" s="147"/>
      <c r="CA1090" s="147"/>
      <c r="CB1090" s="147"/>
      <c r="CC1090" s="147"/>
      <c r="CD1090" s="147"/>
      <c r="CE1090" s="147"/>
      <c r="CF1090" s="147"/>
      <c r="CG1090" s="147"/>
      <c r="CH1090" s="147"/>
      <c r="CI1090" s="147"/>
      <c r="CJ1090" s="147"/>
      <c r="CK1090" s="147"/>
    </row>
    <row r="1091" spans="1:89">
      <c r="A1091" s="147"/>
      <c r="B1091" s="147"/>
      <c r="C1091" s="147"/>
      <c r="D1091" s="147"/>
      <c r="E1091" s="147"/>
      <c r="F1091" s="147"/>
      <c r="G1091" s="147"/>
      <c r="H1091" s="147"/>
      <c r="I1091" s="147"/>
      <c r="J1091" s="147"/>
      <c r="K1091" s="147"/>
      <c r="L1091" s="147"/>
      <c r="M1091" s="147"/>
      <c r="N1091" s="147"/>
      <c r="O1091" s="158"/>
      <c r="P1091" s="147"/>
      <c r="Q1091" s="147"/>
      <c r="R1091" s="147"/>
      <c r="S1091" s="147"/>
      <c r="T1091" s="147"/>
      <c r="U1091" s="147"/>
      <c r="V1091" s="147"/>
      <c r="W1091" s="147"/>
      <c r="X1091" s="147"/>
      <c r="Y1091" s="147"/>
      <c r="Z1091" s="147"/>
      <c r="AA1091" s="147"/>
      <c r="AB1091" s="147"/>
      <c r="AC1091" s="147"/>
      <c r="AD1091" s="147"/>
      <c r="AE1091" s="147"/>
      <c r="AF1091" s="147"/>
      <c r="AG1091" s="147"/>
      <c r="AH1091" s="147"/>
      <c r="AI1091" s="147"/>
      <c r="AJ1091" s="147"/>
      <c r="AK1091" s="147"/>
      <c r="AL1091" s="147"/>
      <c r="AM1091" s="147"/>
      <c r="AN1091" s="147"/>
      <c r="AO1091" s="147"/>
      <c r="AP1091" s="147"/>
      <c r="AQ1091" s="147"/>
      <c r="AR1091" s="147"/>
      <c r="AS1091" s="147"/>
      <c r="AT1091" s="147"/>
      <c r="AU1091" s="147"/>
      <c r="AV1091" s="147"/>
      <c r="AW1091" s="147"/>
      <c r="AX1091" s="147"/>
      <c r="AY1091" s="147"/>
      <c r="AZ1091" s="147"/>
      <c r="BA1091" s="147"/>
      <c r="BB1091" s="147"/>
      <c r="BC1091" s="147"/>
      <c r="BD1091" s="147"/>
      <c r="BE1091" s="147"/>
      <c r="BF1091" s="147"/>
      <c r="BG1091" s="147"/>
      <c r="BH1091" s="147"/>
      <c r="BI1091" s="147"/>
      <c r="BJ1091" s="147"/>
      <c r="BK1091" s="147"/>
      <c r="BL1091" s="147"/>
      <c r="BM1091" s="147"/>
      <c r="BN1091" s="147"/>
      <c r="BO1091" s="147"/>
      <c r="BP1091" s="147"/>
      <c r="BQ1091" s="147"/>
      <c r="BR1091" s="147"/>
      <c r="BS1091" s="147"/>
      <c r="BT1091" s="147"/>
      <c r="BU1091" s="147"/>
      <c r="BV1091" s="147"/>
      <c r="BW1091" s="147"/>
      <c r="BX1091" s="147"/>
      <c r="BY1091" s="147"/>
      <c r="BZ1091" s="147"/>
      <c r="CA1091" s="147"/>
      <c r="CB1091" s="147"/>
      <c r="CC1091" s="147"/>
      <c r="CD1091" s="147"/>
      <c r="CE1091" s="147"/>
      <c r="CF1091" s="147"/>
      <c r="CG1091" s="147"/>
      <c r="CH1091" s="147"/>
      <c r="CI1091" s="147"/>
      <c r="CJ1091" s="147"/>
      <c r="CK1091" s="147"/>
    </row>
    <row r="1092" spans="1:89">
      <c r="A1092" s="147"/>
      <c r="B1092" s="147"/>
      <c r="C1092" s="147"/>
      <c r="D1092" s="147"/>
      <c r="E1092" s="147"/>
      <c r="F1092" s="147"/>
      <c r="G1092" s="147"/>
      <c r="H1092" s="147"/>
      <c r="I1092" s="147"/>
      <c r="J1092" s="147"/>
      <c r="K1092" s="147"/>
      <c r="L1092" s="147"/>
      <c r="M1092" s="147"/>
      <c r="N1092" s="147"/>
      <c r="O1092" s="158"/>
      <c r="P1092" s="147"/>
      <c r="Q1092" s="147"/>
      <c r="R1092" s="147"/>
      <c r="S1092" s="147"/>
      <c r="T1092" s="147"/>
      <c r="U1092" s="147"/>
      <c r="V1092" s="147"/>
      <c r="W1092" s="147"/>
      <c r="X1092" s="147"/>
      <c r="Y1092" s="147"/>
      <c r="Z1092" s="147"/>
      <c r="AA1092" s="147"/>
      <c r="AB1092" s="147"/>
      <c r="AC1092" s="147"/>
      <c r="AD1092" s="147"/>
      <c r="AE1092" s="147"/>
      <c r="AF1092" s="147"/>
      <c r="AG1092" s="147"/>
      <c r="AH1092" s="147"/>
      <c r="AI1092" s="147"/>
      <c r="AJ1092" s="147"/>
      <c r="AK1092" s="147"/>
      <c r="AL1092" s="147"/>
      <c r="AM1092" s="147"/>
      <c r="AN1092" s="147"/>
      <c r="AO1092" s="147"/>
      <c r="AP1092" s="147"/>
      <c r="AQ1092" s="147"/>
      <c r="AR1092" s="147"/>
      <c r="AS1092" s="147"/>
      <c r="AT1092" s="147"/>
      <c r="AU1092" s="147"/>
      <c r="AV1092" s="147"/>
      <c r="AW1092" s="147"/>
      <c r="AX1092" s="147"/>
      <c r="AY1092" s="147"/>
      <c r="AZ1092" s="147"/>
      <c r="BA1092" s="147"/>
      <c r="BB1092" s="147"/>
      <c r="BC1092" s="147"/>
      <c r="BD1092" s="147"/>
      <c r="BE1092" s="147"/>
      <c r="BF1092" s="147"/>
      <c r="BG1092" s="147"/>
      <c r="BH1092" s="147"/>
      <c r="BI1092" s="147"/>
      <c r="BJ1092" s="147"/>
      <c r="BK1092" s="147"/>
      <c r="BL1092" s="147"/>
      <c r="BM1092" s="147"/>
      <c r="BN1092" s="147"/>
      <c r="BO1092" s="147"/>
      <c r="BP1092" s="147"/>
      <c r="BQ1092" s="147"/>
      <c r="BR1092" s="147"/>
      <c r="BS1092" s="147"/>
      <c r="BT1092" s="147"/>
      <c r="BU1092" s="147"/>
      <c r="BV1092" s="147"/>
      <c r="BW1092" s="147"/>
      <c r="BX1092" s="147"/>
      <c r="BY1092" s="147"/>
      <c r="BZ1092" s="147"/>
      <c r="CA1092" s="147"/>
      <c r="CB1092" s="147"/>
      <c r="CC1092" s="147"/>
      <c r="CD1092" s="147"/>
      <c r="CE1092" s="147"/>
      <c r="CF1092" s="147"/>
      <c r="CG1092" s="147"/>
      <c r="CH1092" s="147"/>
      <c r="CI1092" s="147"/>
      <c r="CJ1092" s="147"/>
      <c r="CK1092" s="147"/>
    </row>
    <row r="1093" spans="1:89">
      <c r="A1093" s="147"/>
      <c r="B1093" s="147"/>
      <c r="C1093" s="147"/>
      <c r="D1093" s="147"/>
      <c r="E1093" s="147"/>
      <c r="F1093" s="147"/>
      <c r="G1093" s="147"/>
      <c r="H1093" s="147"/>
      <c r="I1093" s="147"/>
      <c r="J1093" s="147"/>
      <c r="K1093" s="147"/>
      <c r="L1093" s="147"/>
      <c r="M1093" s="147"/>
      <c r="N1093" s="147"/>
      <c r="O1093" s="158"/>
      <c r="P1093" s="147"/>
      <c r="Q1093" s="147"/>
      <c r="R1093" s="147"/>
      <c r="S1093" s="147"/>
      <c r="T1093" s="147"/>
      <c r="U1093" s="147"/>
      <c r="V1093" s="147"/>
      <c r="W1093" s="147"/>
      <c r="X1093" s="147"/>
      <c r="Y1093" s="147"/>
      <c r="Z1093" s="147"/>
      <c r="AA1093" s="147"/>
      <c r="AB1093" s="147"/>
      <c r="AC1093" s="147"/>
      <c r="AD1093" s="147"/>
      <c r="AE1093" s="147"/>
      <c r="AF1093" s="147"/>
      <c r="AG1093" s="147"/>
      <c r="AH1093" s="147"/>
      <c r="AI1093" s="147"/>
      <c r="AJ1093" s="147"/>
      <c r="AK1093" s="147"/>
      <c r="AL1093" s="147"/>
      <c r="AM1093" s="147"/>
      <c r="AN1093" s="147"/>
      <c r="AO1093" s="147"/>
      <c r="AP1093" s="147"/>
      <c r="AQ1093" s="147"/>
      <c r="AR1093" s="147"/>
      <c r="AS1093" s="147"/>
      <c r="AT1093" s="147"/>
      <c r="AU1093" s="147"/>
      <c r="AV1093" s="147"/>
      <c r="AW1093" s="147"/>
      <c r="AX1093" s="147"/>
      <c r="AY1093" s="147"/>
      <c r="AZ1093" s="147"/>
      <c r="BA1093" s="147"/>
      <c r="BB1093" s="147"/>
      <c r="BC1093" s="147"/>
      <c r="BD1093" s="147"/>
      <c r="BE1093" s="147"/>
      <c r="BF1093" s="147"/>
      <c r="BG1093" s="147"/>
      <c r="BH1093" s="147"/>
      <c r="BI1093" s="147"/>
      <c r="BJ1093" s="147"/>
      <c r="BK1093" s="147"/>
      <c r="BL1093" s="147"/>
      <c r="BM1093" s="147"/>
      <c r="BN1093" s="147"/>
      <c r="BO1093" s="147"/>
      <c r="BP1093" s="147"/>
      <c r="BQ1093" s="147"/>
      <c r="BR1093" s="147"/>
      <c r="BS1093" s="147"/>
      <c r="BT1093" s="147"/>
      <c r="BU1093" s="147"/>
      <c r="BV1093" s="147"/>
      <c r="BW1093" s="147"/>
      <c r="BX1093" s="147"/>
      <c r="BY1093" s="147"/>
      <c r="BZ1093" s="147"/>
      <c r="CA1093" s="147"/>
      <c r="CB1093" s="147"/>
      <c r="CC1093" s="147"/>
      <c r="CD1093" s="147"/>
      <c r="CE1093" s="147"/>
      <c r="CF1093" s="147"/>
      <c r="CG1093" s="147"/>
      <c r="CH1093" s="147"/>
      <c r="CI1093" s="147"/>
      <c r="CJ1093" s="147"/>
      <c r="CK1093" s="147"/>
    </row>
    <row r="1094" spans="1:89">
      <c r="A1094" s="147"/>
      <c r="B1094" s="147"/>
      <c r="C1094" s="147"/>
      <c r="D1094" s="147"/>
      <c r="E1094" s="147"/>
      <c r="F1094" s="147"/>
      <c r="G1094" s="147"/>
      <c r="H1094" s="147"/>
      <c r="I1094" s="147"/>
      <c r="J1094" s="147"/>
      <c r="K1094" s="147"/>
      <c r="L1094" s="147"/>
      <c r="M1094" s="147"/>
      <c r="N1094" s="147"/>
      <c r="O1094" s="158"/>
      <c r="P1094" s="147"/>
      <c r="Q1094" s="147"/>
      <c r="R1094" s="147"/>
      <c r="S1094" s="147"/>
      <c r="T1094" s="147"/>
      <c r="U1094" s="147"/>
      <c r="V1094" s="147"/>
      <c r="W1094" s="147"/>
      <c r="X1094" s="147"/>
      <c r="Y1094" s="147"/>
      <c r="Z1094" s="147"/>
      <c r="AA1094" s="147"/>
      <c r="AB1094" s="147"/>
      <c r="AC1094" s="147"/>
      <c r="AD1094" s="147"/>
      <c r="AE1094" s="147"/>
      <c r="AF1094" s="147"/>
      <c r="AG1094" s="147"/>
      <c r="AH1094" s="147"/>
      <c r="AI1094" s="147"/>
      <c r="AJ1094" s="147"/>
      <c r="AK1094" s="147"/>
      <c r="AL1094" s="147"/>
      <c r="AM1094" s="147"/>
      <c r="AN1094" s="147"/>
      <c r="AO1094" s="147"/>
      <c r="AP1094" s="147"/>
      <c r="AQ1094" s="147"/>
      <c r="AR1094" s="147"/>
      <c r="AS1094" s="147"/>
      <c r="AT1094" s="147"/>
      <c r="AU1094" s="147"/>
      <c r="AV1094" s="147"/>
      <c r="AW1094" s="147"/>
      <c r="AX1094" s="147"/>
      <c r="AY1094" s="147"/>
      <c r="AZ1094" s="147"/>
      <c r="BA1094" s="147"/>
      <c r="BB1094" s="147"/>
      <c r="BC1094" s="147"/>
      <c r="BD1094" s="147"/>
      <c r="BE1094" s="147"/>
      <c r="BF1094" s="147"/>
      <c r="BG1094" s="147"/>
      <c r="BH1094" s="147"/>
      <c r="BI1094" s="147"/>
      <c r="BJ1094" s="147"/>
      <c r="BK1094" s="147"/>
      <c r="BL1094" s="147"/>
      <c r="BM1094" s="147"/>
      <c r="BN1094" s="147"/>
      <c r="BO1094" s="147"/>
      <c r="BP1094" s="147"/>
      <c r="BQ1094" s="147"/>
      <c r="BR1094" s="147"/>
      <c r="BS1094" s="147"/>
      <c r="BT1094" s="147"/>
      <c r="BU1094" s="147"/>
      <c r="BV1094" s="147"/>
      <c r="BW1094" s="147"/>
      <c r="BX1094" s="147"/>
      <c r="BY1094" s="147"/>
      <c r="BZ1094" s="147"/>
      <c r="CA1094" s="147"/>
      <c r="CB1094" s="147"/>
      <c r="CC1094" s="147"/>
      <c r="CD1094" s="147"/>
      <c r="CE1094" s="147"/>
      <c r="CF1094" s="147"/>
      <c r="CG1094" s="147"/>
      <c r="CH1094" s="147"/>
      <c r="CI1094" s="147"/>
      <c r="CJ1094" s="147"/>
      <c r="CK1094" s="147"/>
    </row>
    <row r="1095" spans="1:89">
      <c r="A1095" s="147"/>
      <c r="B1095" s="147"/>
      <c r="C1095" s="147"/>
      <c r="D1095" s="147"/>
      <c r="E1095" s="147"/>
      <c r="F1095" s="147"/>
      <c r="G1095" s="147"/>
      <c r="H1095" s="147"/>
      <c r="I1095" s="147"/>
      <c r="J1095" s="147"/>
      <c r="K1095" s="147"/>
      <c r="L1095" s="147"/>
      <c r="M1095" s="147"/>
      <c r="N1095" s="147"/>
      <c r="O1095" s="158"/>
      <c r="P1095" s="147"/>
      <c r="Q1095" s="147"/>
      <c r="R1095" s="147"/>
      <c r="S1095" s="147"/>
      <c r="T1095" s="147"/>
      <c r="U1095" s="147"/>
      <c r="V1095" s="147"/>
      <c r="W1095" s="147"/>
      <c r="X1095" s="147"/>
      <c r="Y1095" s="147"/>
      <c r="Z1095" s="147"/>
      <c r="AA1095" s="147"/>
      <c r="AB1095" s="147"/>
      <c r="AC1095" s="147"/>
      <c r="AD1095" s="147"/>
      <c r="AE1095" s="147"/>
      <c r="AF1095" s="147"/>
      <c r="AG1095" s="147"/>
      <c r="AH1095" s="147"/>
      <c r="AI1095" s="147"/>
      <c r="AJ1095" s="147"/>
      <c r="AK1095" s="147"/>
      <c r="AL1095" s="147"/>
      <c r="AM1095" s="147"/>
      <c r="AN1095" s="147"/>
      <c r="AO1095" s="147"/>
      <c r="AP1095" s="147"/>
      <c r="AQ1095" s="147"/>
      <c r="AR1095" s="147"/>
      <c r="AS1095" s="147"/>
      <c r="AT1095" s="147"/>
      <c r="AU1095" s="147"/>
      <c r="AV1095" s="147"/>
      <c r="AW1095" s="147"/>
      <c r="AX1095" s="147"/>
      <c r="AY1095" s="147"/>
      <c r="AZ1095" s="147"/>
      <c r="BA1095" s="147"/>
      <c r="BB1095" s="147"/>
      <c r="BC1095" s="147"/>
      <c r="BD1095" s="147"/>
      <c r="BE1095" s="147"/>
      <c r="BF1095" s="147"/>
      <c r="BG1095" s="147"/>
      <c r="BH1095" s="147"/>
      <c r="BI1095" s="147"/>
      <c r="BJ1095" s="147"/>
      <c r="BK1095" s="147"/>
      <c r="BL1095" s="147"/>
      <c r="BM1095" s="147"/>
      <c r="BN1095" s="147"/>
      <c r="BO1095" s="147"/>
      <c r="BP1095" s="147"/>
      <c r="BQ1095" s="147"/>
      <c r="BR1095" s="147"/>
      <c r="BS1095" s="147"/>
      <c r="BT1095" s="147"/>
      <c r="BU1095" s="147"/>
      <c r="BV1095" s="147"/>
      <c r="BW1095" s="147"/>
      <c r="BX1095" s="147"/>
      <c r="BY1095" s="147"/>
      <c r="BZ1095" s="147"/>
      <c r="CA1095" s="147"/>
      <c r="CB1095" s="147"/>
      <c r="CC1095" s="147"/>
      <c r="CD1095" s="147"/>
      <c r="CE1095" s="147"/>
      <c r="CF1095" s="147"/>
      <c r="CG1095" s="147"/>
      <c r="CH1095" s="147"/>
      <c r="CI1095" s="147"/>
      <c r="CJ1095" s="147"/>
      <c r="CK1095" s="147"/>
    </row>
    <row r="1096" spans="1:89">
      <c r="A1096" s="147"/>
      <c r="B1096" s="147"/>
      <c r="C1096" s="147"/>
      <c r="D1096" s="147"/>
      <c r="E1096" s="147"/>
      <c r="F1096" s="147"/>
      <c r="G1096" s="147"/>
      <c r="H1096" s="147"/>
      <c r="I1096" s="147"/>
      <c r="J1096" s="147"/>
      <c r="K1096" s="147"/>
      <c r="L1096" s="147"/>
      <c r="M1096" s="147"/>
      <c r="N1096" s="147"/>
      <c r="O1096" s="158"/>
      <c r="P1096" s="147"/>
      <c r="Q1096" s="147"/>
      <c r="R1096" s="147"/>
      <c r="S1096" s="147"/>
      <c r="T1096" s="147"/>
      <c r="U1096" s="147"/>
      <c r="V1096" s="147"/>
      <c r="W1096" s="147"/>
      <c r="X1096" s="147"/>
      <c r="Y1096" s="147"/>
      <c r="Z1096" s="147"/>
      <c r="AA1096" s="147"/>
      <c r="AB1096" s="147"/>
      <c r="AC1096" s="147"/>
      <c r="AD1096" s="147"/>
      <c r="AE1096" s="147"/>
      <c r="AF1096" s="147"/>
      <c r="AG1096" s="147"/>
      <c r="AH1096" s="147"/>
      <c r="AI1096" s="147"/>
      <c r="AJ1096" s="147"/>
      <c r="AK1096" s="147"/>
      <c r="AL1096" s="147"/>
      <c r="AM1096" s="147"/>
      <c r="AN1096" s="147"/>
      <c r="AO1096" s="147"/>
      <c r="AP1096" s="147"/>
      <c r="AQ1096" s="147"/>
      <c r="AR1096" s="147"/>
      <c r="AS1096" s="147"/>
      <c r="AT1096" s="147"/>
      <c r="AU1096" s="147"/>
      <c r="AV1096" s="147"/>
      <c r="AW1096" s="147"/>
      <c r="AX1096" s="147"/>
      <c r="AY1096" s="147"/>
      <c r="AZ1096" s="147"/>
      <c r="BA1096" s="147"/>
      <c r="BB1096" s="147"/>
      <c r="BC1096" s="147"/>
      <c r="BD1096" s="147"/>
      <c r="BE1096" s="147"/>
      <c r="BF1096" s="147"/>
      <c r="BG1096" s="147"/>
      <c r="BH1096" s="147"/>
      <c r="BI1096" s="147"/>
      <c r="BJ1096" s="147"/>
      <c r="BK1096" s="147"/>
      <c r="BL1096" s="147"/>
      <c r="BM1096" s="147"/>
      <c r="BN1096" s="147"/>
      <c r="BO1096" s="147"/>
      <c r="BP1096" s="147"/>
      <c r="BQ1096" s="147"/>
      <c r="BR1096" s="147"/>
      <c r="BS1096" s="147"/>
      <c r="BT1096" s="147"/>
      <c r="BU1096" s="147"/>
      <c r="BV1096" s="147"/>
      <c r="BW1096" s="147"/>
      <c r="BX1096" s="147"/>
      <c r="BY1096" s="147"/>
      <c r="BZ1096" s="147"/>
      <c r="CA1096" s="147"/>
      <c r="CB1096" s="147"/>
      <c r="CC1096" s="147"/>
      <c r="CD1096" s="147"/>
      <c r="CE1096" s="147"/>
      <c r="CF1096" s="147"/>
      <c r="CG1096" s="147"/>
      <c r="CH1096" s="147"/>
      <c r="CI1096" s="147"/>
      <c r="CJ1096" s="147"/>
      <c r="CK1096" s="147"/>
    </row>
    <row r="1097" spans="1:89">
      <c r="A1097" s="147"/>
      <c r="B1097" s="147"/>
      <c r="C1097" s="147"/>
      <c r="D1097" s="147"/>
      <c r="E1097" s="147"/>
      <c r="F1097" s="147"/>
      <c r="G1097" s="147"/>
      <c r="H1097" s="147"/>
      <c r="I1097" s="147"/>
      <c r="J1097" s="147"/>
      <c r="K1097" s="147"/>
      <c r="L1097" s="147"/>
      <c r="M1097" s="147"/>
      <c r="N1097" s="147"/>
      <c r="O1097" s="158"/>
      <c r="P1097" s="147"/>
      <c r="Q1097" s="147"/>
      <c r="R1097" s="147"/>
      <c r="S1097" s="147"/>
      <c r="T1097" s="147"/>
      <c r="U1097" s="147"/>
      <c r="V1097" s="147"/>
      <c r="W1097" s="147"/>
      <c r="X1097" s="147"/>
      <c r="Y1097" s="147"/>
      <c r="Z1097" s="147"/>
      <c r="AA1097" s="147"/>
      <c r="AB1097" s="147"/>
      <c r="AC1097" s="147"/>
      <c r="AD1097" s="147"/>
      <c r="AE1097" s="147"/>
      <c r="AF1097" s="147"/>
      <c r="AG1097" s="147"/>
      <c r="AH1097" s="147"/>
      <c r="AI1097" s="147"/>
      <c r="AJ1097" s="147"/>
      <c r="AK1097" s="147"/>
      <c r="AL1097" s="147"/>
      <c r="AM1097" s="147"/>
      <c r="AN1097" s="147"/>
      <c r="AO1097" s="147"/>
      <c r="AP1097" s="147"/>
      <c r="AQ1097" s="147"/>
      <c r="AR1097" s="147"/>
      <c r="AS1097" s="147"/>
      <c r="AT1097" s="147"/>
      <c r="AU1097" s="147"/>
      <c r="AV1097" s="147"/>
      <c r="AW1097" s="147"/>
      <c r="AX1097" s="147"/>
      <c r="AY1097" s="147"/>
      <c r="AZ1097" s="147"/>
      <c r="BA1097" s="147"/>
      <c r="BB1097" s="147"/>
      <c r="BC1097" s="147"/>
      <c r="BD1097" s="147"/>
      <c r="BE1097" s="147"/>
      <c r="BF1097" s="147"/>
      <c r="BG1097" s="147"/>
      <c r="BH1097" s="147"/>
      <c r="BI1097" s="147"/>
      <c r="BJ1097" s="147"/>
      <c r="BK1097" s="147"/>
      <c r="BL1097" s="147"/>
      <c r="BM1097" s="147"/>
      <c r="BN1097" s="147"/>
      <c r="BO1097" s="147"/>
      <c r="BP1097" s="147"/>
      <c r="BQ1097" s="147"/>
      <c r="BR1097" s="147"/>
      <c r="BS1097" s="147"/>
      <c r="BT1097" s="147"/>
      <c r="BU1097" s="147"/>
      <c r="BV1097" s="147"/>
      <c r="BW1097" s="147"/>
      <c r="BX1097" s="147"/>
      <c r="BY1097" s="147"/>
      <c r="BZ1097" s="147"/>
      <c r="CA1097" s="147"/>
      <c r="CB1097" s="147"/>
      <c r="CC1097" s="147"/>
      <c r="CD1097" s="147"/>
      <c r="CE1097" s="147"/>
      <c r="CF1097" s="147"/>
      <c r="CG1097" s="147"/>
      <c r="CH1097" s="147"/>
      <c r="CI1097" s="147"/>
      <c r="CJ1097" s="147"/>
      <c r="CK1097" s="147"/>
    </row>
    <row r="1098" spans="1:89">
      <c r="A1098" s="147"/>
      <c r="B1098" s="147"/>
      <c r="C1098" s="147"/>
      <c r="D1098" s="147"/>
      <c r="E1098" s="147"/>
      <c r="F1098" s="147"/>
      <c r="G1098" s="147"/>
      <c r="H1098" s="147"/>
      <c r="I1098" s="147"/>
      <c r="J1098" s="147"/>
      <c r="K1098" s="147"/>
      <c r="L1098" s="147"/>
      <c r="M1098" s="147"/>
      <c r="N1098" s="147"/>
      <c r="O1098" s="158"/>
      <c r="P1098" s="147"/>
      <c r="Q1098" s="147"/>
      <c r="R1098" s="147"/>
      <c r="S1098" s="147"/>
      <c r="T1098" s="147"/>
      <c r="U1098" s="147"/>
      <c r="V1098" s="147"/>
      <c r="W1098" s="147"/>
      <c r="X1098" s="147"/>
      <c r="Y1098" s="147"/>
      <c r="Z1098" s="147"/>
      <c r="AA1098" s="147"/>
      <c r="AB1098" s="147"/>
      <c r="AC1098" s="147"/>
      <c r="AD1098" s="147"/>
      <c r="AE1098" s="147"/>
      <c r="AF1098" s="147"/>
      <c r="AG1098" s="147"/>
      <c r="AH1098" s="147"/>
      <c r="AI1098" s="147"/>
      <c r="AJ1098" s="147"/>
      <c r="AK1098" s="147"/>
      <c r="AL1098" s="147"/>
      <c r="AM1098" s="147"/>
      <c r="AN1098" s="147"/>
      <c r="AO1098" s="147"/>
      <c r="AP1098" s="147"/>
      <c r="AQ1098" s="147"/>
      <c r="AR1098" s="147"/>
      <c r="AS1098" s="147"/>
      <c r="AT1098" s="147"/>
      <c r="AU1098" s="147"/>
      <c r="AV1098" s="147"/>
      <c r="AW1098" s="147"/>
      <c r="AX1098" s="147"/>
      <c r="AY1098" s="147"/>
      <c r="AZ1098" s="147"/>
      <c r="BA1098" s="147"/>
      <c r="BB1098" s="147"/>
      <c r="BC1098" s="147"/>
      <c r="BD1098" s="147"/>
      <c r="BE1098" s="147"/>
      <c r="BF1098" s="147"/>
      <c r="BG1098" s="147"/>
      <c r="BH1098" s="147"/>
      <c r="BI1098" s="147"/>
      <c r="BJ1098" s="147"/>
      <c r="BK1098" s="147"/>
      <c r="BL1098" s="147"/>
      <c r="BM1098" s="147"/>
      <c r="BN1098" s="147"/>
      <c r="BO1098" s="147"/>
      <c r="BP1098" s="147"/>
      <c r="BQ1098" s="147"/>
      <c r="BR1098" s="147"/>
      <c r="BS1098" s="147"/>
      <c r="BT1098" s="147"/>
      <c r="BU1098" s="147"/>
      <c r="BV1098" s="147"/>
      <c r="BW1098" s="147"/>
      <c r="BX1098" s="147"/>
      <c r="BY1098" s="147"/>
      <c r="BZ1098" s="147"/>
      <c r="CA1098" s="147"/>
      <c r="CB1098" s="147"/>
      <c r="CC1098" s="147"/>
      <c r="CD1098" s="147"/>
      <c r="CE1098" s="147"/>
      <c r="CF1098" s="147"/>
      <c r="CG1098" s="147"/>
      <c r="CH1098" s="147"/>
      <c r="CI1098" s="147"/>
      <c r="CJ1098" s="147"/>
      <c r="CK1098" s="147"/>
    </row>
    <row r="1099" spans="1:89">
      <c r="A1099" s="147"/>
      <c r="B1099" s="147"/>
      <c r="C1099" s="147"/>
      <c r="D1099" s="147"/>
      <c r="E1099" s="147"/>
      <c r="F1099" s="147"/>
      <c r="G1099" s="147"/>
      <c r="H1099" s="147"/>
      <c r="I1099" s="147"/>
      <c r="J1099" s="147"/>
      <c r="K1099" s="147"/>
      <c r="L1099" s="147"/>
      <c r="M1099" s="147"/>
      <c r="N1099" s="147"/>
      <c r="O1099" s="158"/>
      <c r="P1099" s="147"/>
      <c r="Q1099" s="147"/>
      <c r="R1099" s="147"/>
      <c r="S1099" s="147"/>
      <c r="T1099" s="147"/>
      <c r="U1099" s="147"/>
      <c r="V1099" s="147"/>
      <c r="W1099" s="147"/>
      <c r="X1099" s="147"/>
      <c r="Y1099" s="147"/>
      <c r="Z1099" s="147"/>
      <c r="AA1099" s="147"/>
      <c r="AB1099" s="147"/>
      <c r="AC1099" s="147"/>
      <c r="AD1099" s="147"/>
      <c r="AE1099" s="147"/>
      <c r="AF1099" s="147"/>
      <c r="AG1099" s="147"/>
      <c r="AH1099" s="147"/>
      <c r="AI1099" s="147"/>
      <c r="AJ1099" s="147"/>
      <c r="AK1099" s="147"/>
      <c r="AL1099" s="147"/>
      <c r="AM1099" s="147"/>
      <c r="AN1099" s="147"/>
      <c r="AO1099" s="147"/>
      <c r="AP1099" s="147"/>
      <c r="AQ1099" s="147"/>
      <c r="AR1099" s="147"/>
      <c r="AS1099" s="147"/>
      <c r="AT1099" s="147"/>
      <c r="AU1099" s="147"/>
      <c r="AV1099" s="147"/>
      <c r="AW1099" s="147"/>
      <c r="AX1099" s="147"/>
      <c r="AY1099" s="147"/>
      <c r="AZ1099" s="147"/>
      <c r="BA1099" s="147"/>
      <c r="BB1099" s="147"/>
      <c r="BC1099" s="147"/>
      <c r="BD1099" s="147"/>
      <c r="BE1099" s="147"/>
      <c r="BF1099" s="147"/>
      <c r="BG1099" s="147"/>
      <c r="BH1099" s="147"/>
      <c r="BI1099" s="147"/>
      <c r="BJ1099" s="147"/>
      <c r="BK1099" s="147"/>
      <c r="BL1099" s="147"/>
      <c r="BM1099" s="147"/>
      <c r="BN1099" s="147"/>
      <c r="BO1099" s="147"/>
      <c r="BP1099" s="147"/>
      <c r="BQ1099" s="147"/>
      <c r="BR1099" s="147"/>
      <c r="BS1099" s="147"/>
      <c r="BT1099" s="147"/>
      <c r="BU1099" s="147"/>
      <c r="BV1099" s="147"/>
      <c r="BW1099" s="147"/>
      <c r="BX1099" s="147"/>
      <c r="BY1099" s="147"/>
      <c r="BZ1099" s="147"/>
      <c r="CA1099" s="147"/>
      <c r="CB1099" s="147"/>
      <c r="CC1099" s="147"/>
      <c r="CD1099" s="147"/>
      <c r="CE1099" s="147"/>
      <c r="CF1099" s="147"/>
      <c r="CG1099" s="147"/>
      <c r="CH1099" s="147"/>
      <c r="CI1099" s="147"/>
      <c r="CJ1099" s="147"/>
      <c r="CK1099" s="147"/>
    </row>
    <row r="1100" spans="1:89">
      <c r="A1100" s="147"/>
      <c r="B1100" s="147"/>
      <c r="C1100" s="147"/>
      <c r="D1100" s="147"/>
      <c r="E1100" s="147"/>
      <c r="F1100" s="147"/>
      <c r="G1100" s="147"/>
      <c r="H1100" s="147"/>
      <c r="I1100" s="147"/>
      <c r="J1100" s="147"/>
      <c r="K1100" s="147"/>
      <c r="L1100" s="147"/>
      <c r="M1100" s="147"/>
      <c r="N1100" s="147"/>
      <c r="O1100" s="158"/>
      <c r="P1100" s="147"/>
      <c r="Q1100" s="147"/>
      <c r="R1100" s="147"/>
      <c r="S1100" s="147"/>
      <c r="T1100" s="147"/>
      <c r="U1100" s="147"/>
      <c r="V1100" s="147"/>
      <c r="W1100" s="147"/>
      <c r="X1100" s="147"/>
      <c r="Y1100" s="147"/>
      <c r="Z1100" s="147"/>
      <c r="AA1100" s="147"/>
      <c r="AB1100" s="147"/>
      <c r="AC1100" s="147"/>
      <c r="AD1100" s="147"/>
      <c r="AE1100" s="147"/>
      <c r="AF1100" s="147"/>
      <c r="AG1100" s="147"/>
      <c r="AH1100" s="147"/>
      <c r="AI1100" s="147"/>
      <c r="AJ1100" s="147"/>
      <c r="AK1100" s="147"/>
      <c r="AL1100" s="147"/>
      <c r="AM1100" s="147"/>
      <c r="AN1100" s="147"/>
      <c r="AO1100" s="147"/>
      <c r="AP1100" s="147"/>
      <c r="AQ1100" s="147"/>
      <c r="AR1100" s="147"/>
      <c r="AS1100" s="147"/>
      <c r="AT1100" s="147"/>
      <c r="AU1100" s="147"/>
      <c r="AV1100" s="147"/>
      <c r="AW1100" s="147"/>
      <c r="AX1100" s="147"/>
      <c r="AY1100" s="147"/>
      <c r="AZ1100" s="147"/>
      <c r="BA1100" s="147"/>
      <c r="BB1100" s="147"/>
      <c r="BC1100" s="147"/>
      <c r="BD1100" s="147"/>
      <c r="BE1100" s="147"/>
      <c r="BF1100" s="147"/>
      <c r="BG1100" s="147"/>
      <c r="BH1100" s="147"/>
      <c r="BI1100" s="147"/>
      <c r="BJ1100" s="147"/>
      <c r="BK1100" s="147"/>
      <c r="BL1100" s="147"/>
      <c r="BM1100" s="147"/>
      <c r="BN1100" s="147"/>
      <c r="BO1100" s="147"/>
      <c r="BP1100" s="147"/>
      <c r="BQ1100" s="147"/>
      <c r="BR1100" s="147"/>
      <c r="BS1100" s="147"/>
      <c r="BT1100" s="147"/>
      <c r="BU1100" s="147"/>
      <c r="BV1100" s="147"/>
      <c r="BW1100" s="147"/>
      <c r="BX1100" s="147"/>
      <c r="BY1100" s="147"/>
      <c r="BZ1100" s="147"/>
      <c r="CA1100" s="147"/>
      <c r="CB1100" s="147"/>
      <c r="CC1100" s="147"/>
      <c r="CD1100" s="147"/>
      <c r="CE1100" s="147"/>
      <c r="CF1100" s="147"/>
      <c r="CG1100" s="147"/>
      <c r="CH1100" s="147"/>
      <c r="CI1100" s="147"/>
      <c r="CJ1100" s="147"/>
      <c r="CK1100" s="147"/>
    </row>
    <row r="1101" spans="1:89">
      <c r="A1101" s="147"/>
      <c r="B1101" s="147"/>
      <c r="C1101" s="147"/>
      <c r="D1101" s="147"/>
      <c r="E1101" s="147"/>
      <c r="F1101" s="147"/>
      <c r="G1101" s="147"/>
      <c r="H1101" s="147"/>
      <c r="I1101" s="147"/>
      <c r="J1101" s="147"/>
      <c r="K1101" s="147"/>
      <c r="L1101" s="147"/>
      <c r="M1101" s="147"/>
      <c r="N1101" s="147"/>
      <c r="O1101" s="158"/>
      <c r="P1101" s="147"/>
      <c r="Q1101" s="147"/>
      <c r="R1101" s="147"/>
      <c r="S1101" s="147"/>
      <c r="T1101" s="147"/>
      <c r="U1101" s="147"/>
      <c r="V1101" s="147"/>
      <c r="W1101" s="147"/>
      <c r="X1101" s="147"/>
      <c r="Y1101" s="147"/>
      <c r="Z1101" s="147"/>
      <c r="AA1101" s="147"/>
      <c r="AB1101" s="147"/>
      <c r="AC1101" s="147"/>
      <c r="AD1101" s="147"/>
      <c r="AE1101" s="147"/>
      <c r="AF1101" s="147"/>
      <c r="AG1101" s="147"/>
      <c r="AH1101" s="147"/>
      <c r="AI1101" s="147"/>
      <c r="AJ1101" s="147"/>
      <c r="AK1101" s="147"/>
      <c r="AL1101" s="147"/>
      <c r="AM1101" s="147"/>
      <c r="AN1101" s="147"/>
      <c r="AO1101" s="147"/>
      <c r="AP1101" s="147"/>
      <c r="AQ1101" s="147"/>
      <c r="AR1101" s="147"/>
      <c r="AS1101" s="147"/>
      <c r="AT1101" s="147"/>
      <c r="AU1101" s="147"/>
      <c r="AV1101" s="147"/>
      <c r="AW1101" s="147"/>
      <c r="AX1101" s="147"/>
      <c r="AY1101" s="147"/>
      <c r="AZ1101" s="147"/>
      <c r="BA1101" s="147"/>
      <c r="BB1101" s="147"/>
      <c r="BC1101" s="147"/>
      <c r="BD1101" s="147"/>
      <c r="BE1101" s="147"/>
      <c r="BF1101" s="147"/>
      <c r="BG1101" s="147"/>
      <c r="BH1101" s="147"/>
      <c r="BI1101" s="147"/>
      <c r="BJ1101" s="147"/>
      <c r="BK1101" s="147"/>
      <c r="BL1101" s="147"/>
      <c r="BM1101" s="147"/>
      <c r="BN1101" s="147"/>
      <c r="BO1101" s="147"/>
      <c r="BP1101" s="147"/>
      <c r="BQ1101" s="147"/>
      <c r="BR1101" s="147"/>
      <c r="BS1101" s="147"/>
      <c r="BT1101" s="147"/>
      <c r="BU1101" s="147"/>
      <c r="BV1101" s="147"/>
      <c r="BW1101" s="147"/>
      <c r="BX1101" s="147"/>
      <c r="BY1101" s="147"/>
      <c r="BZ1101" s="147"/>
      <c r="CA1101" s="147"/>
      <c r="CB1101" s="147"/>
      <c r="CC1101" s="147"/>
      <c r="CD1101" s="147"/>
      <c r="CE1101" s="147"/>
      <c r="CF1101" s="147"/>
      <c r="CG1101" s="147"/>
      <c r="CH1101" s="147"/>
      <c r="CI1101" s="147"/>
      <c r="CJ1101" s="147"/>
      <c r="CK1101" s="147"/>
    </row>
    <row r="1102" spans="1:89">
      <c r="A1102" s="147"/>
      <c r="B1102" s="147"/>
      <c r="C1102" s="147"/>
      <c r="D1102" s="147"/>
      <c r="E1102" s="147"/>
      <c r="F1102" s="147"/>
      <c r="G1102" s="147"/>
      <c r="H1102" s="147"/>
      <c r="I1102" s="147"/>
      <c r="J1102" s="147"/>
      <c r="K1102" s="147"/>
      <c r="L1102" s="147"/>
      <c r="M1102" s="147"/>
      <c r="N1102" s="147"/>
      <c r="O1102" s="158"/>
      <c r="P1102" s="147"/>
      <c r="Q1102" s="147"/>
      <c r="R1102" s="147"/>
      <c r="S1102" s="147"/>
      <c r="T1102" s="147"/>
      <c r="U1102" s="147"/>
      <c r="V1102" s="147"/>
      <c r="W1102" s="147"/>
      <c r="X1102" s="147"/>
      <c r="Y1102" s="147"/>
      <c r="Z1102" s="147"/>
      <c r="AA1102" s="147"/>
      <c r="AB1102" s="147"/>
      <c r="AC1102" s="147"/>
      <c r="AD1102" s="147"/>
      <c r="AE1102" s="147"/>
      <c r="AF1102" s="147"/>
      <c r="AG1102" s="147"/>
      <c r="AH1102" s="147"/>
      <c r="AI1102" s="147"/>
      <c r="AJ1102" s="147"/>
      <c r="AK1102" s="147"/>
      <c r="AL1102" s="147"/>
      <c r="AM1102" s="147"/>
      <c r="AN1102" s="147"/>
      <c r="AO1102" s="147"/>
      <c r="AP1102" s="147"/>
      <c r="AQ1102" s="147"/>
      <c r="AR1102" s="147"/>
      <c r="AS1102" s="147"/>
      <c r="AT1102" s="147"/>
      <c r="AU1102" s="147"/>
      <c r="AV1102" s="147"/>
      <c r="AW1102" s="147"/>
      <c r="AX1102" s="147"/>
      <c r="AY1102" s="147"/>
      <c r="AZ1102" s="147"/>
      <c r="BA1102" s="147"/>
      <c r="BB1102" s="147"/>
      <c r="BC1102" s="147"/>
      <c r="BD1102" s="147"/>
      <c r="BE1102" s="147"/>
      <c r="BF1102" s="147"/>
      <c r="BG1102" s="147"/>
      <c r="BH1102" s="147"/>
      <c r="BI1102" s="147"/>
      <c r="BJ1102" s="147"/>
      <c r="BK1102" s="147"/>
      <c r="BL1102" s="147"/>
      <c r="BM1102" s="147"/>
      <c r="BN1102" s="147"/>
      <c r="BO1102" s="147"/>
      <c r="BP1102" s="147"/>
      <c r="BQ1102" s="147"/>
      <c r="BR1102" s="147"/>
      <c r="BS1102" s="147"/>
      <c r="BT1102" s="147"/>
      <c r="BU1102" s="147"/>
      <c r="BV1102" s="147"/>
      <c r="BW1102" s="147"/>
      <c r="BX1102" s="147"/>
      <c r="BY1102" s="147"/>
      <c r="BZ1102" s="147"/>
      <c r="CA1102" s="147"/>
      <c r="CB1102" s="147"/>
      <c r="CC1102" s="147"/>
      <c r="CD1102" s="147"/>
      <c r="CE1102" s="147"/>
      <c r="CF1102" s="147"/>
      <c r="CG1102" s="147"/>
      <c r="CH1102" s="147"/>
      <c r="CI1102" s="147"/>
      <c r="CJ1102" s="147"/>
      <c r="CK1102" s="147"/>
    </row>
    <row r="1103" spans="1:89">
      <c r="A1103" s="147"/>
      <c r="B1103" s="147"/>
      <c r="C1103" s="147"/>
      <c r="D1103" s="147"/>
      <c r="E1103" s="147"/>
      <c r="F1103" s="147"/>
      <c r="G1103" s="147"/>
      <c r="H1103" s="147"/>
      <c r="I1103" s="147"/>
      <c r="J1103" s="147"/>
      <c r="K1103" s="147"/>
      <c r="L1103" s="147"/>
      <c r="M1103" s="147"/>
      <c r="N1103" s="147"/>
      <c r="O1103" s="158"/>
      <c r="P1103" s="147"/>
      <c r="Q1103" s="147"/>
      <c r="R1103" s="147"/>
      <c r="S1103" s="147"/>
      <c r="T1103" s="147"/>
      <c r="U1103" s="147"/>
      <c r="V1103" s="147"/>
      <c r="W1103" s="147"/>
      <c r="X1103" s="147"/>
      <c r="Y1103" s="147"/>
      <c r="Z1103" s="147"/>
      <c r="AA1103" s="147"/>
      <c r="AB1103" s="147"/>
      <c r="AC1103" s="147"/>
      <c r="AD1103" s="147"/>
      <c r="AE1103" s="147"/>
      <c r="AF1103" s="147"/>
      <c r="AG1103" s="147"/>
      <c r="AH1103" s="147"/>
      <c r="AI1103" s="147"/>
      <c r="AJ1103" s="147"/>
      <c r="AK1103" s="147"/>
      <c r="AL1103" s="147"/>
      <c r="AM1103" s="147"/>
      <c r="AN1103" s="147"/>
      <c r="AO1103" s="147"/>
      <c r="AP1103" s="147"/>
      <c r="AQ1103" s="147"/>
      <c r="AR1103" s="147"/>
      <c r="AS1103" s="147"/>
      <c r="AT1103" s="147"/>
      <c r="AU1103" s="147"/>
      <c r="AV1103" s="147"/>
      <c r="AW1103" s="147"/>
      <c r="AX1103" s="147"/>
      <c r="AY1103" s="147"/>
      <c r="AZ1103" s="147"/>
      <c r="BA1103" s="147"/>
      <c r="BB1103" s="147"/>
      <c r="BC1103" s="147"/>
      <c r="BD1103" s="147"/>
      <c r="BE1103" s="147"/>
      <c r="BF1103" s="147"/>
      <c r="BG1103" s="147"/>
      <c r="BH1103" s="147"/>
      <c r="BI1103" s="147"/>
      <c r="BJ1103" s="147"/>
      <c r="BK1103" s="147"/>
      <c r="BL1103" s="147"/>
      <c r="BM1103" s="147"/>
      <c r="BN1103" s="147"/>
      <c r="BO1103" s="147"/>
      <c r="BP1103" s="147"/>
      <c r="BQ1103" s="147"/>
      <c r="BR1103" s="147"/>
      <c r="BS1103" s="147"/>
      <c r="BT1103" s="147"/>
      <c r="BU1103" s="147"/>
      <c r="BV1103" s="147"/>
      <c r="BW1103" s="147"/>
      <c r="BX1103" s="147"/>
      <c r="BY1103" s="147"/>
      <c r="BZ1103" s="147"/>
      <c r="CA1103" s="147"/>
      <c r="CB1103" s="147"/>
      <c r="CC1103" s="147"/>
      <c r="CD1103" s="147"/>
      <c r="CE1103" s="147"/>
      <c r="CF1103" s="147"/>
      <c r="CG1103" s="147"/>
      <c r="CH1103" s="147"/>
      <c r="CI1103" s="147"/>
      <c r="CJ1103" s="147"/>
      <c r="CK1103" s="147"/>
    </row>
    <row r="1104" spans="1:89">
      <c r="A1104" s="147"/>
      <c r="B1104" s="147"/>
      <c r="C1104" s="147"/>
      <c r="D1104" s="147"/>
      <c r="E1104" s="147"/>
      <c r="F1104" s="147"/>
      <c r="G1104" s="147"/>
      <c r="H1104" s="147"/>
      <c r="I1104" s="147"/>
      <c r="J1104" s="147"/>
      <c r="K1104" s="147"/>
      <c r="L1104" s="147"/>
      <c r="M1104" s="147"/>
      <c r="N1104" s="147"/>
      <c r="O1104" s="158"/>
      <c r="P1104" s="147"/>
      <c r="Q1104" s="147"/>
      <c r="R1104" s="147"/>
      <c r="S1104" s="147"/>
      <c r="T1104" s="147"/>
      <c r="U1104" s="147"/>
      <c r="V1104" s="147"/>
      <c r="W1104" s="147"/>
      <c r="X1104" s="147"/>
      <c r="Y1104" s="147"/>
      <c r="Z1104" s="147"/>
      <c r="AA1104" s="147"/>
      <c r="AB1104" s="147"/>
      <c r="AC1104" s="147"/>
      <c r="AD1104" s="147"/>
      <c r="AE1104" s="147"/>
      <c r="AF1104" s="147"/>
      <c r="AG1104" s="147"/>
      <c r="AH1104" s="147"/>
      <c r="AI1104" s="147"/>
      <c r="AJ1104" s="147"/>
      <c r="AK1104" s="147"/>
      <c r="AL1104" s="147"/>
      <c r="AM1104" s="147"/>
      <c r="AN1104" s="147"/>
      <c r="AO1104" s="147"/>
      <c r="AP1104" s="147"/>
      <c r="AQ1104" s="147"/>
      <c r="AR1104" s="147"/>
      <c r="AS1104" s="147"/>
      <c r="AT1104" s="147"/>
      <c r="AU1104" s="147"/>
      <c r="AV1104" s="147"/>
      <c r="AW1104" s="147"/>
      <c r="AX1104" s="147"/>
      <c r="AY1104" s="147"/>
      <c r="AZ1104" s="147"/>
      <c r="BA1104" s="147"/>
      <c r="BB1104" s="147"/>
      <c r="BC1104" s="147"/>
      <c r="BD1104" s="147"/>
      <c r="BE1104" s="147"/>
      <c r="BF1104" s="147"/>
      <c r="BG1104" s="147"/>
      <c r="BH1104" s="147"/>
      <c r="BI1104" s="147"/>
      <c r="BJ1104" s="147"/>
      <c r="BK1104" s="147"/>
      <c r="BL1104" s="147"/>
      <c r="BM1104" s="147"/>
      <c r="BN1104" s="147"/>
      <c r="BO1104" s="147"/>
      <c r="BP1104" s="147"/>
      <c r="BQ1104" s="147"/>
      <c r="BR1104" s="147"/>
      <c r="BS1104" s="147"/>
      <c r="BT1104" s="147"/>
      <c r="BU1104" s="147"/>
      <c r="BV1104" s="147"/>
      <c r="BW1104" s="147"/>
      <c r="BX1104" s="147"/>
      <c r="BY1104" s="147"/>
      <c r="BZ1104" s="147"/>
      <c r="CA1104" s="147"/>
      <c r="CB1104" s="147"/>
      <c r="CC1104" s="147"/>
      <c r="CD1104" s="147"/>
      <c r="CE1104" s="147"/>
      <c r="CF1104" s="147"/>
      <c r="CG1104" s="147"/>
      <c r="CH1104" s="147"/>
      <c r="CI1104" s="147"/>
      <c r="CJ1104" s="147"/>
      <c r="CK1104" s="147"/>
    </row>
    <row r="1105" spans="1:89">
      <c r="A1105" s="147"/>
      <c r="B1105" s="147"/>
      <c r="C1105" s="147"/>
      <c r="D1105" s="147"/>
      <c r="E1105" s="147"/>
      <c r="F1105" s="147"/>
      <c r="G1105" s="147"/>
      <c r="H1105" s="147"/>
      <c r="I1105" s="147"/>
      <c r="J1105" s="147"/>
      <c r="K1105" s="147"/>
      <c r="L1105" s="147"/>
      <c r="M1105" s="147"/>
      <c r="N1105" s="147"/>
      <c r="O1105" s="158"/>
      <c r="P1105" s="147"/>
      <c r="Q1105" s="147"/>
      <c r="R1105" s="147"/>
      <c r="S1105" s="147"/>
      <c r="T1105" s="147"/>
      <c r="U1105" s="147"/>
      <c r="V1105" s="147"/>
      <c r="W1105" s="147"/>
      <c r="X1105" s="147"/>
      <c r="Y1105" s="147"/>
      <c r="Z1105" s="147"/>
      <c r="AA1105" s="147"/>
      <c r="AB1105" s="147"/>
      <c r="AC1105" s="147"/>
      <c r="AD1105" s="147"/>
      <c r="AE1105" s="147"/>
      <c r="AF1105" s="147"/>
      <c r="AG1105" s="147"/>
      <c r="AH1105" s="147"/>
      <c r="AI1105" s="147"/>
      <c r="AJ1105" s="147"/>
      <c r="AK1105" s="147"/>
      <c r="AL1105" s="147"/>
      <c r="AM1105" s="147"/>
      <c r="AN1105" s="147"/>
      <c r="AO1105" s="147"/>
      <c r="AP1105" s="147"/>
      <c r="AQ1105" s="147"/>
      <c r="AR1105" s="147"/>
      <c r="AS1105" s="147"/>
      <c r="AT1105" s="147"/>
      <c r="AU1105" s="147"/>
      <c r="AV1105" s="147"/>
      <c r="AW1105" s="147"/>
      <c r="AX1105" s="147"/>
      <c r="AY1105" s="147"/>
      <c r="AZ1105" s="147"/>
      <c r="BA1105" s="147"/>
      <c r="BB1105" s="147"/>
      <c r="BC1105" s="147"/>
      <c r="BD1105" s="147"/>
      <c r="BE1105" s="147"/>
      <c r="BF1105" s="147"/>
      <c r="BG1105" s="147"/>
      <c r="BH1105" s="147"/>
      <c r="BI1105" s="147"/>
      <c r="BJ1105" s="147"/>
      <c r="BK1105" s="147"/>
      <c r="BL1105" s="147"/>
      <c r="BM1105" s="147"/>
      <c r="BN1105" s="147"/>
      <c r="BO1105" s="147"/>
      <c r="BP1105" s="147"/>
      <c r="BQ1105" s="147"/>
      <c r="BR1105" s="147"/>
      <c r="BS1105" s="147"/>
      <c r="BT1105" s="147"/>
      <c r="BU1105" s="147"/>
      <c r="BV1105" s="147"/>
      <c r="BW1105" s="147"/>
      <c r="BX1105" s="147"/>
      <c r="BY1105" s="147"/>
      <c r="BZ1105" s="147"/>
      <c r="CA1105" s="147"/>
      <c r="CB1105" s="147"/>
      <c r="CC1105" s="147"/>
      <c r="CD1105" s="147"/>
      <c r="CE1105" s="147"/>
      <c r="CF1105" s="147"/>
      <c r="CG1105" s="147"/>
      <c r="CH1105" s="147"/>
      <c r="CI1105" s="147"/>
      <c r="CJ1105" s="147"/>
      <c r="CK1105" s="147"/>
    </row>
    <row r="1106" spans="1:89">
      <c r="A1106" s="147"/>
      <c r="B1106" s="147"/>
      <c r="C1106" s="147"/>
      <c r="D1106" s="147"/>
      <c r="E1106" s="147"/>
      <c r="F1106" s="147"/>
      <c r="G1106" s="147"/>
      <c r="H1106" s="147"/>
      <c r="I1106" s="147"/>
      <c r="J1106" s="147"/>
      <c r="K1106" s="147"/>
      <c r="L1106" s="147"/>
      <c r="M1106" s="147"/>
      <c r="N1106" s="147"/>
      <c r="O1106" s="158"/>
      <c r="P1106" s="147"/>
      <c r="Q1106" s="147"/>
      <c r="R1106" s="147"/>
      <c r="S1106" s="147"/>
      <c r="T1106" s="147"/>
      <c r="U1106" s="147"/>
      <c r="V1106" s="147"/>
      <c r="W1106" s="147"/>
      <c r="X1106" s="147"/>
      <c r="Y1106" s="147"/>
      <c r="Z1106" s="147"/>
      <c r="AA1106" s="147"/>
      <c r="AB1106" s="147"/>
      <c r="AC1106" s="147"/>
      <c r="AD1106" s="147"/>
      <c r="AE1106" s="147"/>
      <c r="AF1106" s="147"/>
      <c r="AG1106" s="147"/>
      <c r="AH1106" s="147"/>
      <c r="AI1106" s="147"/>
      <c r="AJ1106" s="147"/>
      <c r="AK1106" s="147"/>
      <c r="AL1106" s="147"/>
      <c r="AM1106" s="147"/>
      <c r="AN1106" s="147"/>
      <c r="AO1106" s="147"/>
      <c r="AP1106" s="147"/>
      <c r="AQ1106" s="147"/>
      <c r="AR1106" s="147"/>
      <c r="AS1106" s="147"/>
      <c r="AT1106" s="147"/>
      <c r="AU1106" s="147"/>
      <c r="AV1106" s="147"/>
      <c r="AW1106" s="147"/>
      <c r="AX1106" s="147"/>
      <c r="AY1106" s="147"/>
      <c r="AZ1106" s="147"/>
      <c r="BA1106" s="147"/>
      <c r="BB1106" s="147"/>
      <c r="BC1106" s="147"/>
      <c r="BD1106" s="147"/>
      <c r="BE1106" s="147"/>
      <c r="BF1106" s="147"/>
      <c r="BG1106" s="147"/>
      <c r="BH1106" s="147"/>
      <c r="BI1106" s="147"/>
      <c r="BJ1106" s="147"/>
      <c r="BK1106" s="147"/>
      <c r="BL1106" s="147"/>
      <c r="BM1106" s="147"/>
      <c r="BN1106" s="147"/>
      <c r="BO1106" s="147"/>
      <c r="BP1106" s="147"/>
      <c r="BQ1106" s="147"/>
      <c r="BR1106" s="147"/>
      <c r="BS1106" s="147"/>
      <c r="BT1106" s="147"/>
      <c r="BU1106" s="147"/>
      <c r="BV1106" s="147"/>
      <c r="BW1106" s="147"/>
      <c r="BX1106" s="147"/>
      <c r="BY1106" s="147"/>
      <c r="BZ1106" s="147"/>
      <c r="CA1106" s="147"/>
      <c r="CB1106" s="147"/>
      <c r="CC1106" s="147"/>
      <c r="CD1106" s="147"/>
      <c r="CE1106" s="147"/>
      <c r="CF1106" s="147"/>
      <c r="CG1106" s="147"/>
      <c r="CH1106" s="147"/>
      <c r="CI1106" s="147"/>
      <c r="CJ1106" s="147"/>
      <c r="CK1106" s="147"/>
    </row>
    <row r="1107" spans="1:89">
      <c r="A1107" s="147"/>
      <c r="B1107" s="147"/>
      <c r="C1107" s="147"/>
      <c r="D1107" s="147"/>
      <c r="E1107" s="147"/>
      <c r="F1107" s="147"/>
      <c r="G1107" s="147"/>
      <c r="H1107" s="147"/>
      <c r="I1107" s="147"/>
      <c r="J1107" s="147"/>
      <c r="K1107" s="147"/>
      <c r="L1107" s="147"/>
      <c r="M1107" s="147"/>
      <c r="N1107" s="147"/>
      <c r="O1107" s="158"/>
      <c r="P1107" s="147"/>
      <c r="Q1107" s="147"/>
      <c r="R1107" s="147"/>
      <c r="S1107" s="147"/>
      <c r="T1107" s="147"/>
      <c r="U1107" s="147"/>
      <c r="V1107" s="147"/>
      <c r="W1107" s="147"/>
      <c r="X1107" s="147"/>
      <c r="Y1107" s="147"/>
      <c r="Z1107" s="147"/>
      <c r="AA1107" s="147"/>
      <c r="AB1107" s="147"/>
      <c r="AC1107" s="147"/>
      <c r="AD1107" s="147"/>
      <c r="AE1107" s="147"/>
      <c r="AF1107" s="147"/>
      <c r="AG1107" s="147"/>
      <c r="AH1107" s="147"/>
      <c r="AI1107" s="147"/>
      <c r="AJ1107" s="147"/>
      <c r="AK1107" s="147"/>
      <c r="AL1107" s="147"/>
      <c r="AM1107" s="147"/>
      <c r="AN1107" s="147"/>
      <c r="AO1107" s="147"/>
      <c r="AP1107" s="147"/>
      <c r="AQ1107" s="147"/>
      <c r="AR1107" s="147"/>
      <c r="AS1107" s="147"/>
      <c r="AT1107" s="147"/>
      <c r="AU1107" s="147"/>
      <c r="AV1107" s="147"/>
      <c r="AW1107" s="147"/>
      <c r="AX1107" s="147"/>
      <c r="AY1107" s="147"/>
      <c r="AZ1107" s="147"/>
      <c r="BA1107" s="147"/>
      <c r="BB1107" s="147"/>
      <c r="BC1107" s="147"/>
      <c r="BD1107" s="147"/>
      <c r="BE1107" s="147"/>
      <c r="BF1107" s="147"/>
      <c r="BG1107" s="147"/>
      <c r="BH1107" s="147"/>
      <c r="BI1107" s="147"/>
      <c r="BJ1107" s="147"/>
      <c r="BK1107" s="147"/>
      <c r="BL1107" s="147"/>
      <c r="BM1107" s="147"/>
      <c r="BN1107" s="147"/>
      <c r="BO1107" s="147"/>
      <c r="BP1107" s="147"/>
      <c r="BQ1107" s="147"/>
      <c r="BR1107" s="147"/>
      <c r="BS1107" s="147"/>
      <c r="BT1107" s="147"/>
      <c r="BU1107" s="147"/>
      <c r="BV1107" s="147"/>
      <c r="BW1107" s="147"/>
      <c r="BX1107" s="147"/>
      <c r="BY1107" s="147"/>
      <c r="BZ1107" s="147"/>
      <c r="CA1107" s="147"/>
      <c r="CB1107" s="147"/>
      <c r="CC1107" s="147"/>
      <c r="CD1107" s="147"/>
      <c r="CE1107" s="147"/>
      <c r="CF1107" s="147"/>
      <c r="CG1107" s="147"/>
      <c r="CH1107" s="147"/>
      <c r="CI1107" s="147"/>
      <c r="CJ1107" s="147"/>
      <c r="CK1107" s="147"/>
    </row>
    <row r="1108" spans="1:89">
      <c r="A1108" s="147"/>
      <c r="B1108" s="147"/>
      <c r="C1108" s="147"/>
      <c r="D1108" s="147"/>
      <c r="E1108" s="147"/>
      <c r="F1108" s="147"/>
      <c r="G1108" s="147"/>
      <c r="H1108" s="147"/>
      <c r="I1108" s="147"/>
      <c r="J1108" s="147"/>
      <c r="K1108" s="147"/>
      <c r="L1108" s="147"/>
      <c r="M1108" s="147"/>
      <c r="N1108" s="147"/>
      <c r="O1108" s="158"/>
      <c r="P1108" s="147"/>
      <c r="Q1108" s="147"/>
      <c r="R1108" s="147"/>
      <c r="S1108" s="147"/>
      <c r="T1108" s="147"/>
      <c r="U1108" s="147"/>
      <c r="V1108" s="147"/>
      <c r="W1108" s="147"/>
      <c r="X1108" s="147"/>
      <c r="Y1108" s="147"/>
      <c r="Z1108" s="147"/>
      <c r="AA1108" s="147"/>
      <c r="AB1108" s="147"/>
      <c r="AC1108" s="147"/>
      <c r="AD1108" s="147"/>
      <c r="AE1108" s="147"/>
      <c r="AF1108" s="147"/>
      <c r="AG1108" s="147"/>
      <c r="AH1108" s="147"/>
      <c r="AI1108" s="147"/>
      <c r="AJ1108" s="147"/>
      <c r="AK1108" s="147"/>
      <c r="AL1108" s="147"/>
      <c r="AM1108" s="147"/>
      <c r="AN1108" s="147"/>
      <c r="AO1108" s="147"/>
      <c r="AP1108" s="147"/>
      <c r="AQ1108" s="147"/>
      <c r="AR1108" s="147"/>
      <c r="AS1108" s="147"/>
      <c r="AT1108" s="147"/>
      <c r="AU1108" s="147"/>
      <c r="AV1108" s="147"/>
      <c r="AW1108" s="147"/>
      <c r="AX1108" s="147"/>
      <c r="AY1108" s="147"/>
      <c r="AZ1108" s="147"/>
      <c r="BA1108" s="147"/>
      <c r="BB1108" s="147"/>
      <c r="BC1108" s="147"/>
      <c r="BD1108" s="147"/>
      <c r="BE1108" s="147"/>
      <c r="BF1108" s="147"/>
      <c r="BG1108" s="147"/>
      <c r="BH1108" s="147"/>
      <c r="BI1108" s="147"/>
      <c r="BJ1108" s="147"/>
      <c r="BK1108" s="147"/>
      <c r="BL1108" s="147"/>
      <c r="BM1108" s="147"/>
      <c r="BN1108" s="147"/>
      <c r="BO1108" s="147"/>
      <c r="BP1108" s="147"/>
      <c r="BQ1108" s="147"/>
      <c r="BR1108" s="147"/>
      <c r="BS1108" s="147"/>
      <c r="BT1108" s="147"/>
      <c r="BU1108" s="147"/>
      <c r="BV1108" s="147"/>
      <c r="BW1108" s="147"/>
      <c r="BX1108" s="147"/>
      <c r="BY1108" s="147"/>
      <c r="BZ1108" s="147"/>
      <c r="CA1108" s="147"/>
      <c r="CB1108" s="147"/>
      <c r="CC1108" s="147"/>
      <c r="CD1108" s="147"/>
      <c r="CE1108" s="147"/>
      <c r="CF1108" s="147"/>
      <c r="CG1108" s="147"/>
      <c r="CH1108" s="147"/>
      <c r="CI1108" s="147"/>
      <c r="CJ1108" s="147"/>
      <c r="CK1108" s="147"/>
    </row>
    <row r="1109" spans="1:89">
      <c r="A1109" s="147"/>
      <c r="B1109" s="147"/>
      <c r="C1109" s="147"/>
      <c r="D1109" s="147"/>
      <c r="E1109" s="147"/>
      <c r="F1109" s="147"/>
      <c r="G1109" s="147"/>
      <c r="H1109" s="147"/>
      <c r="I1109" s="147"/>
      <c r="J1109" s="147"/>
      <c r="K1109" s="147"/>
      <c r="L1109" s="147"/>
      <c r="M1109" s="147"/>
      <c r="N1109" s="147"/>
      <c r="O1109" s="158"/>
      <c r="P1109" s="147"/>
      <c r="Q1109" s="147"/>
      <c r="R1109" s="147"/>
      <c r="S1109" s="147"/>
      <c r="T1109" s="147"/>
      <c r="U1109" s="147"/>
      <c r="V1109" s="147"/>
      <c r="W1109" s="147"/>
      <c r="X1109" s="147"/>
      <c r="Y1109" s="147"/>
      <c r="Z1109" s="147"/>
      <c r="AA1109" s="147"/>
      <c r="AB1109" s="147"/>
      <c r="AC1109" s="147"/>
      <c r="AD1109" s="147"/>
      <c r="AE1109" s="147"/>
      <c r="AF1109" s="147"/>
      <c r="AG1109" s="147"/>
      <c r="AH1109" s="147"/>
      <c r="AI1109" s="147"/>
      <c r="AJ1109" s="147"/>
      <c r="AK1109" s="147"/>
      <c r="AL1109" s="147"/>
      <c r="AM1109" s="147"/>
      <c r="AN1109" s="147"/>
      <c r="AO1109" s="147"/>
      <c r="AP1109" s="147"/>
      <c r="AQ1109" s="147"/>
      <c r="AR1109" s="147"/>
      <c r="AS1109" s="147"/>
      <c r="AT1109" s="147"/>
      <c r="AU1109" s="147"/>
      <c r="AV1109" s="147"/>
      <c r="AW1109" s="147"/>
      <c r="AX1109" s="147"/>
      <c r="AY1109" s="147"/>
      <c r="AZ1109" s="147"/>
      <c r="BA1109" s="147"/>
      <c r="BB1109" s="147"/>
      <c r="BC1109" s="147"/>
      <c r="BD1109" s="147"/>
      <c r="BE1109" s="147"/>
      <c r="BF1109" s="147"/>
      <c r="BG1109" s="147"/>
      <c r="BH1109" s="147"/>
      <c r="BI1109" s="147"/>
      <c r="BJ1109" s="147"/>
      <c r="BK1109" s="147"/>
      <c r="BL1109" s="147"/>
      <c r="BM1109" s="147"/>
      <c r="BN1109" s="147"/>
      <c r="BO1109" s="147"/>
      <c r="BP1109" s="147"/>
      <c r="BQ1109" s="147"/>
      <c r="BR1109" s="147"/>
      <c r="BS1109" s="147"/>
      <c r="BT1109" s="147"/>
      <c r="BU1109" s="147"/>
      <c r="BV1109" s="147"/>
      <c r="BW1109" s="147"/>
      <c r="BX1109" s="147"/>
      <c r="BY1109" s="147"/>
      <c r="BZ1109" s="147"/>
      <c r="CA1109" s="147"/>
      <c r="CB1109" s="147"/>
      <c r="CC1109" s="147"/>
      <c r="CD1109" s="147"/>
      <c r="CE1109" s="147"/>
      <c r="CF1109" s="147"/>
      <c r="CG1109" s="147"/>
      <c r="CH1109" s="147"/>
      <c r="CI1109" s="147"/>
      <c r="CJ1109" s="147"/>
      <c r="CK1109" s="147"/>
    </row>
    <row r="1110" spans="1:89">
      <c r="A1110" s="147"/>
      <c r="B1110" s="147"/>
      <c r="C1110" s="147"/>
      <c r="D1110" s="147"/>
      <c r="E1110" s="147"/>
      <c r="F1110" s="147"/>
      <c r="G1110" s="147"/>
      <c r="H1110" s="147"/>
      <c r="I1110" s="147"/>
      <c r="J1110" s="147"/>
      <c r="K1110" s="147"/>
      <c r="L1110" s="147"/>
      <c r="M1110" s="147"/>
      <c r="N1110" s="147"/>
      <c r="O1110" s="158"/>
      <c r="P1110" s="147"/>
      <c r="Q1110" s="147"/>
      <c r="R1110" s="147"/>
      <c r="S1110" s="147"/>
      <c r="T1110" s="147"/>
      <c r="U1110" s="147"/>
      <c r="V1110" s="147"/>
      <c r="W1110" s="147"/>
      <c r="X1110" s="147"/>
      <c r="Y1110" s="147"/>
      <c r="Z1110" s="147"/>
      <c r="AA1110" s="147"/>
      <c r="AB1110" s="147"/>
      <c r="AC1110" s="147"/>
      <c r="AD1110" s="147"/>
      <c r="AE1110" s="147"/>
      <c r="AF1110" s="147"/>
      <c r="AG1110" s="147"/>
      <c r="AH1110" s="147"/>
      <c r="AI1110" s="147"/>
      <c r="AJ1110" s="147"/>
      <c r="AK1110" s="147"/>
      <c r="AL1110" s="147"/>
      <c r="AM1110" s="147"/>
      <c r="AN1110" s="147"/>
      <c r="AO1110" s="147"/>
      <c r="AP1110" s="147"/>
      <c r="AQ1110" s="147"/>
      <c r="AR1110" s="147"/>
      <c r="AS1110" s="147"/>
      <c r="AT1110" s="147"/>
      <c r="AU1110" s="147"/>
      <c r="AV1110" s="147"/>
      <c r="AW1110" s="147"/>
      <c r="AX1110" s="147"/>
      <c r="AY1110" s="147"/>
      <c r="AZ1110" s="147"/>
      <c r="BA1110" s="147"/>
      <c r="BB1110" s="147"/>
      <c r="BC1110" s="147"/>
      <c r="BD1110" s="147"/>
      <c r="BE1110" s="147"/>
      <c r="BF1110" s="147"/>
      <c r="BG1110" s="147"/>
      <c r="BH1110" s="147"/>
      <c r="BI1110" s="147"/>
      <c r="BJ1110" s="147"/>
      <c r="BK1110" s="147"/>
      <c r="BL1110" s="147"/>
      <c r="BM1110" s="147"/>
      <c r="BN1110" s="147"/>
      <c r="BO1110" s="147"/>
      <c r="BP1110" s="147"/>
      <c r="BQ1110" s="147"/>
      <c r="BR1110" s="147"/>
      <c r="BS1110" s="147"/>
      <c r="BT1110" s="147"/>
      <c r="BU1110" s="147"/>
      <c r="BV1110" s="147"/>
      <c r="BW1110" s="147"/>
      <c r="BX1110" s="147"/>
      <c r="BY1110" s="147"/>
      <c r="BZ1110" s="147"/>
      <c r="CA1110" s="147"/>
      <c r="CB1110" s="147"/>
      <c r="CC1110" s="147"/>
      <c r="CD1110" s="147"/>
      <c r="CE1110" s="147"/>
      <c r="CF1110" s="147"/>
      <c r="CG1110" s="147"/>
      <c r="CH1110" s="147"/>
      <c r="CI1110" s="147"/>
      <c r="CJ1110" s="147"/>
      <c r="CK1110" s="147"/>
    </row>
    <row r="1111" spans="1:89">
      <c r="A1111" s="147"/>
      <c r="B1111" s="147"/>
      <c r="C1111" s="147"/>
      <c r="D1111" s="147"/>
      <c r="E1111" s="147"/>
      <c r="F1111" s="147"/>
      <c r="G1111" s="147"/>
      <c r="H1111" s="147"/>
      <c r="I1111" s="147"/>
      <c r="J1111" s="147"/>
      <c r="K1111" s="147"/>
      <c r="L1111" s="147"/>
      <c r="M1111" s="147"/>
      <c r="N1111" s="147"/>
      <c r="O1111" s="158"/>
      <c r="P1111" s="147"/>
      <c r="Q1111" s="147"/>
      <c r="R1111" s="147"/>
      <c r="S1111" s="147"/>
      <c r="T1111" s="147"/>
      <c r="U1111" s="147"/>
      <c r="V1111" s="147"/>
      <c r="W1111" s="147"/>
      <c r="X1111" s="147"/>
      <c r="Y1111" s="147"/>
      <c r="Z1111" s="147"/>
      <c r="AA1111" s="147"/>
      <c r="AB1111" s="147"/>
      <c r="AC1111" s="147"/>
      <c r="AD1111" s="147"/>
      <c r="AE1111" s="147"/>
      <c r="AF1111" s="147"/>
      <c r="AG1111" s="147"/>
      <c r="AH1111" s="147"/>
      <c r="AI1111" s="147"/>
      <c r="AJ1111" s="147"/>
      <c r="AK1111" s="147"/>
      <c r="AL1111" s="147"/>
      <c r="AM1111" s="147"/>
      <c r="AN1111" s="147"/>
      <c r="AO1111" s="147"/>
      <c r="AP1111" s="147"/>
      <c r="AQ1111" s="147"/>
      <c r="AR1111" s="147"/>
      <c r="AS1111" s="147"/>
      <c r="AT1111" s="147"/>
      <c r="AU1111" s="147"/>
      <c r="AV1111" s="147"/>
      <c r="AW1111" s="147"/>
      <c r="AX1111" s="147"/>
      <c r="AY1111" s="147"/>
      <c r="AZ1111" s="147"/>
      <c r="BA1111" s="147"/>
      <c r="BB1111" s="147"/>
      <c r="BC1111" s="147"/>
      <c r="BD1111" s="147"/>
      <c r="BE1111" s="147"/>
      <c r="BF1111" s="147"/>
      <c r="BG1111" s="147"/>
      <c r="BH1111" s="147"/>
      <c r="BI1111" s="147"/>
      <c r="BJ1111" s="147"/>
      <c r="BK1111" s="147"/>
      <c r="BL1111" s="147"/>
      <c r="BM1111" s="147"/>
      <c r="BN1111" s="147"/>
      <c r="BO1111" s="147"/>
      <c r="BP1111" s="147"/>
      <c r="BQ1111" s="147"/>
      <c r="BR1111" s="147"/>
      <c r="BS1111" s="147"/>
      <c r="BT1111" s="147"/>
      <c r="BU1111" s="147"/>
      <c r="BV1111" s="147"/>
      <c r="BW1111" s="147"/>
      <c r="BX1111" s="147"/>
      <c r="BY1111" s="147"/>
      <c r="BZ1111" s="147"/>
      <c r="CA1111" s="147"/>
      <c r="CB1111" s="147"/>
      <c r="CC1111" s="147"/>
      <c r="CD1111" s="147"/>
      <c r="CE1111" s="147"/>
      <c r="CF1111" s="147"/>
      <c r="CG1111" s="147"/>
      <c r="CH1111" s="147"/>
      <c r="CI1111" s="147"/>
      <c r="CJ1111" s="147"/>
      <c r="CK1111" s="147"/>
    </row>
    <row r="1112" spans="1:89">
      <c r="A1112" s="147"/>
      <c r="B1112" s="147"/>
      <c r="C1112" s="147"/>
      <c r="D1112" s="147"/>
      <c r="E1112" s="147"/>
      <c r="F1112" s="147"/>
      <c r="G1112" s="147"/>
      <c r="H1112" s="147"/>
      <c r="I1112" s="147"/>
      <c r="J1112" s="147"/>
      <c r="K1112" s="147"/>
      <c r="L1112" s="147"/>
      <c r="M1112" s="147"/>
      <c r="N1112" s="147"/>
      <c r="O1112" s="158"/>
      <c r="P1112" s="147"/>
      <c r="Q1112" s="147"/>
      <c r="R1112" s="147"/>
      <c r="S1112" s="147"/>
      <c r="T1112" s="147"/>
      <c r="U1112" s="147"/>
      <c r="V1112" s="147"/>
      <c r="W1112" s="147"/>
      <c r="X1112" s="147"/>
      <c r="Y1112" s="147"/>
      <c r="Z1112" s="147"/>
      <c r="AA1112" s="147"/>
      <c r="AB1112" s="147"/>
      <c r="AC1112" s="147"/>
      <c r="AD1112" s="147"/>
      <c r="AE1112" s="147"/>
      <c r="AF1112" s="147"/>
      <c r="AG1112" s="147"/>
      <c r="AH1112" s="147"/>
      <c r="AI1112" s="147"/>
      <c r="AJ1112" s="147"/>
      <c r="AK1112" s="147"/>
      <c r="AL1112" s="147"/>
      <c r="AM1112" s="147"/>
      <c r="AN1112" s="147"/>
      <c r="AO1112" s="147"/>
      <c r="AP1112" s="147"/>
      <c r="AQ1112" s="147"/>
      <c r="AR1112" s="147"/>
      <c r="AS1112" s="147"/>
      <c r="AT1112" s="147"/>
      <c r="AU1112" s="147"/>
      <c r="AV1112" s="147"/>
      <c r="AW1112" s="147"/>
      <c r="AX1112" s="147"/>
      <c r="AY1112" s="147"/>
      <c r="AZ1112" s="147"/>
      <c r="BA1112" s="147"/>
      <c r="BB1112" s="147"/>
      <c r="BC1112" s="147"/>
      <c r="BD1112" s="147"/>
      <c r="BE1112" s="147"/>
      <c r="BF1112" s="147"/>
      <c r="BG1112" s="147"/>
      <c r="BH1112" s="147"/>
      <c r="BI1112" s="147"/>
      <c r="BJ1112" s="147"/>
      <c r="BK1112" s="147"/>
      <c r="BL1112" s="147"/>
      <c r="BM1112" s="147"/>
      <c r="BN1112" s="147"/>
      <c r="BO1112" s="147"/>
      <c r="BP1112" s="147"/>
      <c r="BQ1112" s="147"/>
      <c r="BR1112" s="147"/>
      <c r="BS1112" s="147"/>
      <c r="BT1112" s="147"/>
      <c r="BU1112" s="147"/>
      <c r="BV1112" s="147"/>
      <c r="BW1112" s="147"/>
      <c r="BX1112" s="147"/>
      <c r="BY1112" s="147"/>
      <c r="BZ1112" s="147"/>
      <c r="CA1112" s="147"/>
      <c r="CB1112" s="147"/>
      <c r="CC1112" s="147"/>
      <c r="CD1112" s="147"/>
      <c r="CE1112" s="147"/>
      <c r="CF1112" s="147"/>
      <c r="CG1112" s="147"/>
      <c r="CH1112" s="147"/>
      <c r="CI1112" s="147"/>
      <c r="CJ1112" s="147"/>
      <c r="CK1112" s="147"/>
    </row>
    <row r="1113" spans="1:89">
      <c r="A1113" s="147"/>
      <c r="B1113" s="147"/>
      <c r="C1113" s="147"/>
      <c r="D1113" s="147"/>
      <c r="E1113" s="147"/>
      <c r="F1113" s="147"/>
      <c r="G1113" s="147"/>
      <c r="H1113" s="147"/>
      <c r="I1113" s="147"/>
      <c r="J1113" s="147"/>
      <c r="K1113" s="147"/>
      <c r="L1113" s="147"/>
      <c r="M1113" s="147"/>
      <c r="N1113" s="147"/>
      <c r="O1113" s="158"/>
      <c r="P1113" s="147"/>
      <c r="Q1113" s="147"/>
      <c r="R1113" s="147"/>
      <c r="S1113" s="147"/>
      <c r="T1113" s="147"/>
      <c r="U1113" s="147"/>
      <c r="V1113" s="147"/>
      <c r="W1113" s="147"/>
      <c r="X1113" s="147"/>
      <c r="Y1113" s="147"/>
      <c r="Z1113" s="147"/>
      <c r="AA1113" s="147"/>
      <c r="AB1113" s="147"/>
      <c r="AC1113" s="147"/>
      <c r="AD1113" s="147"/>
      <c r="AE1113" s="147"/>
      <c r="AF1113" s="147"/>
      <c r="AG1113" s="147"/>
      <c r="AH1113" s="147"/>
      <c r="AI1113" s="147"/>
      <c r="AJ1113" s="147"/>
      <c r="AK1113" s="147"/>
      <c r="AL1113" s="147"/>
      <c r="AM1113" s="147"/>
      <c r="AN1113" s="147"/>
      <c r="AO1113" s="147"/>
      <c r="AP1113" s="147"/>
      <c r="AQ1113" s="147"/>
      <c r="AR1113" s="147"/>
      <c r="AS1113" s="147"/>
      <c r="AT1113" s="147"/>
      <c r="AU1113" s="147"/>
      <c r="AV1113" s="147"/>
      <c r="AW1113" s="147"/>
      <c r="AX1113" s="147"/>
      <c r="AY1113" s="147"/>
      <c r="AZ1113" s="147"/>
      <c r="BA1113" s="147"/>
      <c r="BB1113" s="147"/>
      <c r="BC1113" s="147"/>
      <c r="BD1113" s="147"/>
      <c r="BE1113" s="147"/>
      <c r="BF1113" s="147"/>
      <c r="BG1113" s="147"/>
      <c r="BH1113" s="147"/>
      <c r="BI1113" s="147"/>
      <c r="BJ1113" s="147"/>
      <c r="BK1113" s="147"/>
      <c r="BL1113" s="147"/>
      <c r="BM1113" s="147"/>
      <c r="BN1113" s="147"/>
      <c r="BO1113" s="147"/>
      <c r="BP1113" s="147"/>
      <c r="BQ1113" s="147"/>
      <c r="BR1113" s="147"/>
      <c r="BS1113" s="147"/>
      <c r="BT1113" s="147"/>
      <c r="BU1113" s="147"/>
      <c r="BV1113" s="147"/>
      <c r="BW1113" s="147"/>
      <c r="BX1113" s="147"/>
      <c r="BY1113" s="147"/>
      <c r="BZ1113" s="147"/>
      <c r="CA1113" s="147"/>
      <c r="CB1113" s="147"/>
      <c r="CC1113" s="147"/>
      <c r="CD1113" s="147"/>
      <c r="CE1113" s="147"/>
      <c r="CF1113" s="147"/>
      <c r="CG1113" s="147"/>
      <c r="CH1113" s="147"/>
      <c r="CI1113" s="147"/>
      <c r="CJ1113" s="147"/>
      <c r="CK1113" s="147"/>
    </row>
    <row r="1114" spans="1:89">
      <c r="A1114" s="147"/>
      <c r="B1114" s="147"/>
      <c r="C1114" s="147"/>
      <c r="D1114" s="147"/>
      <c r="E1114" s="147"/>
      <c r="F1114" s="147"/>
      <c r="G1114" s="147"/>
      <c r="H1114" s="147"/>
      <c r="I1114" s="147"/>
      <c r="J1114" s="147"/>
      <c r="K1114" s="147"/>
      <c r="L1114" s="147"/>
      <c r="M1114" s="147"/>
      <c r="N1114" s="147"/>
      <c r="O1114" s="158"/>
      <c r="P1114" s="147"/>
      <c r="Q1114" s="147"/>
      <c r="R1114" s="147"/>
      <c r="S1114" s="147"/>
      <c r="T1114" s="147"/>
      <c r="U1114" s="147"/>
      <c r="V1114" s="147"/>
      <c r="W1114" s="147"/>
      <c r="X1114" s="147"/>
      <c r="Y1114" s="147"/>
      <c r="Z1114" s="147"/>
      <c r="AA1114" s="147"/>
      <c r="AB1114" s="147"/>
      <c r="AC1114" s="147"/>
      <c r="AD1114" s="147"/>
      <c r="AE1114" s="147"/>
      <c r="AF1114" s="147"/>
      <c r="AG1114" s="147"/>
      <c r="AH1114" s="147"/>
      <c r="AI1114" s="147"/>
      <c r="AJ1114" s="147"/>
      <c r="AK1114" s="147"/>
      <c r="AL1114" s="147"/>
      <c r="AM1114" s="147"/>
      <c r="AN1114" s="147"/>
      <c r="AO1114" s="147"/>
      <c r="AP1114" s="147"/>
      <c r="AQ1114" s="147"/>
      <c r="AR1114" s="147"/>
      <c r="AS1114" s="147"/>
      <c r="AT1114" s="147"/>
      <c r="AU1114" s="147"/>
      <c r="AV1114" s="147"/>
      <c r="AW1114" s="147"/>
      <c r="AX1114" s="147"/>
      <c r="AY1114" s="147"/>
      <c r="AZ1114" s="147"/>
      <c r="BA1114" s="147"/>
      <c r="BB1114" s="147"/>
      <c r="BC1114" s="147"/>
      <c r="BD1114" s="147"/>
      <c r="BE1114" s="147"/>
      <c r="BF1114" s="147"/>
      <c r="BG1114" s="147"/>
      <c r="BH1114" s="147"/>
      <c r="BI1114" s="147"/>
      <c r="BJ1114" s="147"/>
      <c r="BK1114" s="147"/>
      <c r="BL1114" s="147"/>
      <c r="BM1114" s="147"/>
      <c r="BN1114" s="147"/>
      <c r="BO1114" s="147"/>
      <c r="BP1114" s="147"/>
      <c r="BQ1114" s="147"/>
      <c r="BR1114" s="147"/>
      <c r="BS1114" s="147"/>
      <c r="BT1114" s="147"/>
      <c r="BU1114" s="147"/>
      <c r="BV1114" s="147"/>
      <c r="BW1114" s="147"/>
      <c r="BX1114" s="147"/>
      <c r="BY1114" s="147"/>
      <c r="BZ1114" s="147"/>
      <c r="CA1114" s="147"/>
      <c r="CB1114" s="147"/>
      <c r="CC1114" s="147"/>
      <c r="CD1114" s="147"/>
      <c r="CE1114" s="147"/>
      <c r="CF1114" s="147"/>
      <c r="CG1114" s="147"/>
      <c r="CH1114" s="147"/>
      <c r="CI1114" s="147"/>
      <c r="CJ1114" s="147"/>
      <c r="CK1114" s="147"/>
    </row>
    <row r="1115" spans="1:89">
      <c r="A1115" s="147"/>
      <c r="B1115" s="147"/>
      <c r="C1115" s="147"/>
      <c r="D1115" s="147"/>
      <c r="E1115" s="147"/>
      <c r="F1115" s="147"/>
      <c r="G1115" s="147"/>
      <c r="H1115" s="147"/>
      <c r="I1115" s="147"/>
      <c r="J1115" s="147"/>
      <c r="K1115" s="147"/>
      <c r="L1115" s="147"/>
      <c r="M1115" s="147"/>
      <c r="N1115" s="147"/>
      <c r="O1115" s="158"/>
      <c r="P1115" s="147"/>
      <c r="Q1115" s="147"/>
      <c r="R1115" s="147"/>
      <c r="S1115" s="147"/>
      <c r="T1115" s="147"/>
      <c r="U1115" s="147"/>
      <c r="V1115" s="147"/>
      <c r="W1115" s="147"/>
      <c r="X1115" s="147"/>
      <c r="Y1115" s="147"/>
      <c r="Z1115" s="147"/>
      <c r="AA1115" s="147"/>
      <c r="AB1115" s="147"/>
      <c r="AC1115" s="147"/>
      <c r="AD1115" s="147"/>
      <c r="AE1115" s="147"/>
      <c r="AF1115" s="147"/>
      <c r="AG1115" s="147"/>
      <c r="AH1115" s="147"/>
      <c r="AI1115" s="147"/>
      <c r="AJ1115" s="147"/>
      <c r="AK1115" s="147"/>
      <c r="AL1115" s="147"/>
      <c r="AM1115" s="147"/>
      <c r="AN1115" s="147"/>
      <c r="AO1115" s="147"/>
      <c r="AP1115" s="147"/>
      <c r="AQ1115" s="147"/>
      <c r="AR1115" s="147"/>
      <c r="AS1115" s="147"/>
      <c r="AT1115" s="147"/>
      <c r="AU1115" s="147"/>
      <c r="AV1115" s="147"/>
      <c r="AW1115" s="147"/>
      <c r="AX1115" s="147"/>
      <c r="AY1115" s="147"/>
      <c r="AZ1115" s="147"/>
      <c r="BA1115" s="147"/>
      <c r="BB1115" s="147"/>
      <c r="BC1115" s="147"/>
      <c r="BD1115" s="147"/>
      <c r="BE1115" s="147"/>
      <c r="BF1115" s="147"/>
      <c r="BG1115" s="147"/>
      <c r="BH1115" s="147"/>
      <c r="BI1115" s="147"/>
      <c r="BJ1115" s="147"/>
      <c r="BK1115" s="147"/>
      <c r="BL1115" s="147"/>
      <c r="BM1115" s="147"/>
      <c r="BN1115" s="147"/>
      <c r="BO1115" s="147"/>
      <c r="BP1115" s="147"/>
      <c r="BQ1115" s="147"/>
      <c r="BR1115" s="147"/>
      <c r="BS1115" s="147"/>
      <c r="BT1115" s="147"/>
      <c r="BU1115" s="147"/>
      <c r="BV1115" s="147"/>
      <c r="BW1115" s="147"/>
      <c r="BX1115" s="147"/>
      <c r="BY1115" s="147"/>
      <c r="BZ1115" s="147"/>
      <c r="CA1115" s="147"/>
      <c r="CB1115" s="147"/>
      <c r="CC1115" s="147"/>
      <c r="CD1115" s="147"/>
      <c r="CE1115" s="147"/>
      <c r="CF1115" s="147"/>
      <c r="CG1115" s="147"/>
      <c r="CH1115" s="147"/>
      <c r="CI1115" s="147"/>
      <c r="CJ1115" s="147"/>
      <c r="CK1115" s="147"/>
    </row>
    <row r="1116" spans="1:89">
      <c r="A1116" s="147"/>
      <c r="B1116" s="147"/>
      <c r="C1116" s="147"/>
      <c r="D1116" s="147"/>
      <c r="E1116" s="147"/>
      <c r="F1116" s="147"/>
      <c r="G1116" s="147"/>
      <c r="H1116" s="147"/>
      <c r="I1116" s="147"/>
      <c r="J1116" s="147"/>
      <c r="K1116" s="147"/>
      <c r="L1116" s="147"/>
      <c r="M1116" s="147"/>
      <c r="N1116" s="147"/>
      <c r="O1116" s="158"/>
      <c r="P1116" s="147"/>
      <c r="Q1116" s="147"/>
      <c r="R1116" s="147"/>
      <c r="S1116" s="147"/>
      <c r="T1116" s="147"/>
      <c r="U1116" s="147"/>
      <c r="V1116" s="147"/>
      <c r="W1116" s="147"/>
      <c r="X1116" s="147"/>
      <c r="Y1116" s="147"/>
      <c r="Z1116" s="147"/>
      <c r="AA1116" s="147"/>
      <c r="AB1116" s="147"/>
      <c r="AC1116" s="147"/>
      <c r="AD1116" s="147"/>
      <c r="AE1116" s="147"/>
      <c r="AF1116" s="147"/>
      <c r="AG1116" s="147"/>
      <c r="AH1116" s="147"/>
      <c r="AI1116" s="147"/>
      <c r="AJ1116" s="147"/>
      <c r="AK1116" s="147"/>
      <c r="AL1116" s="147"/>
      <c r="AM1116" s="147"/>
      <c r="AN1116" s="147"/>
      <c r="AO1116" s="147"/>
      <c r="AP1116" s="147"/>
      <c r="AQ1116" s="147"/>
      <c r="AR1116" s="147"/>
      <c r="AS1116" s="147"/>
      <c r="AT1116" s="147"/>
      <c r="AU1116" s="147"/>
      <c r="AV1116" s="147"/>
      <c r="AW1116" s="147"/>
      <c r="AX1116" s="147"/>
      <c r="AY1116" s="147"/>
      <c r="AZ1116" s="147"/>
      <c r="BA1116" s="147"/>
      <c r="BB1116" s="147"/>
      <c r="BC1116" s="147"/>
      <c r="BD1116" s="147"/>
      <c r="BE1116" s="147"/>
      <c r="BF1116" s="147"/>
      <c r="BG1116" s="147"/>
      <c r="BH1116" s="147"/>
      <c r="BI1116" s="147"/>
      <c r="BJ1116" s="147"/>
      <c r="BK1116" s="147"/>
      <c r="BL1116" s="147"/>
      <c r="BM1116" s="147"/>
      <c r="BN1116" s="147"/>
      <c r="BO1116" s="147"/>
      <c r="BP1116" s="147"/>
      <c r="BQ1116" s="147"/>
      <c r="BR1116" s="147"/>
      <c r="BS1116" s="147"/>
      <c r="BT1116" s="147"/>
      <c r="BU1116" s="147"/>
      <c r="BV1116" s="147"/>
      <c r="BW1116" s="147"/>
      <c r="BX1116" s="147"/>
      <c r="BY1116" s="147"/>
      <c r="BZ1116" s="147"/>
      <c r="CA1116" s="147"/>
      <c r="CB1116" s="147"/>
      <c r="CC1116" s="147"/>
      <c r="CD1116" s="147"/>
      <c r="CE1116" s="147"/>
      <c r="CF1116" s="147"/>
      <c r="CG1116" s="147"/>
      <c r="CH1116" s="147"/>
      <c r="CI1116" s="147"/>
      <c r="CJ1116" s="147"/>
      <c r="CK1116" s="147"/>
    </row>
    <row r="1117" spans="1:89">
      <c r="A1117" s="147"/>
      <c r="B1117" s="147"/>
      <c r="C1117" s="147"/>
      <c r="D1117" s="147"/>
      <c r="E1117" s="147"/>
      <c r="F1117" s="147"/>
      <c r="G1117" s="147"/>
      <c r="H1117" s="147"/>
      <c r="I1117" s="147"/>
      <c r="J1117" s="147"/>
      <c r="K1117" s="147"/>
      <c r="L1117" s="147"/>
      <c r="M1117" s="147"/>
      <c r="N1117" s="147"/>
      <c r="O1117" s="158"/>
      <c r="P1117" s="147"/>
      <c r="Q1117" s="147"/>
      <c r="R1117" s="147"/>
      <c r="S1117" s="147"/>
      <c r="T1117" s="147"/>
      <c r="U1117" s="147"/>
      <c r="V1117" s="147"/>
      <c r="W1117" s="147"/>
      <c r="X1117" s="147"/>
      <c r="Y1117" s="147"/>
      <c r="Z1117" s="147"/>
      <c r="AA1117" s="147"/>
      <c r="AB1117" s="147"/>
      <c r="AC1117" s="147"/>
      <c r="AD1117" s="147"/>
      <c r="AE1117" s="147"/>
      <c r="AF1117" s="147"/>
      <c r="AG1117" s="147"/>
      <c r="AH1117" s="147"/>
      <c r="AI1117" s="147"/>
      <c r="AJ1117" s="147"/>
      <c r="AK1117" s="147"/>
      <c r="AL1117" s="147"/>
      <c r="AM1117" s="147"/>
      <c r="AN1117" s="147"/>
      <c r="AO1117" s="147"/>
      <c r="AP1117" s="147"/>
      <c r="AQ1117" s="147"/>
      <c r="AR1117" s="147"/>
      <c r="AS1117" s="147"/>
      <c r="AT1117" s="147"/>
      <c r="AU1117" s="147"/>
      <c r="AV1117" s="147"/>
      <c r="AW1117" s="147"/>
      <c r="AX1117" s="147"/>
      <c r="AY1117" s="147"/>
      <c r="AZ1117" s="147"/>
      <c r="BA1117" s="147"/>
      <c r="BB1117" s="147"/>
      <c r="BC1117" s="147"/>
      <c r="BD1117" s="147"/>
      <c r="BE1117" s="147"/>
      <c r="BF1117" s="147"/>
      <c r="BG1117" s="147"/>
      <c r="BH1117" s="147"/>
      <c r="BI1117" s="147"/>
      <c r="BJ1117" s="147"/>
      <c r="BK1117" s="147"/>
      <c r="BL1117" s="147"/>
      <c r="BM1117" s="147"/>
      <c r="BN1117" s="147"/>
      <c r="BO1117" s="147"/>
      <c r="BP1117" s="147"/>
      <c r="BQ1117" s="147"/>
      <c r="BR1117" s="147"/>
      <c r="BS1117" s="147"/>
      <c r="BT1117" s="147"/>
      <c r="BU1117" s="147"/>
      <c r="BV1117" s="147"/>
      <c r="BW1117" s="147"/>
      <c r="BX1117" s="147"/>
      <c r="BY1117" s="147"/>
      <c r="BZ1117" s="147"/>
      <c r="CA1117" s="147"/>
      <c r="CB1117" s="147"/>
      <c r="CC1117" s="147"/>
      <c r="CD1117" s="147"/>
      <c r="CE1117" s="147"/>
      <c r="CF1117" s="147"/>
      <c r="CG1117" s="147"/>
      <c r="CH1117" s="147"/>
      <c r="CI1117" s="147"/>
      <c r="CJ1117" s="147"/>
      <c r="CK1117" s="147"/>
    </row>
    <row r="1118" spans="1:89">
      <c r="A1118" s="147"/>
      <c r="B1118" s="147"/>
      <c r="C1118" s="147"/>
      <c r="D1118" s="147"/>
      <c r="E1118" s="147"/>
      <c r="F1118" s="147"/>
      <c r="G1118" s="147"/>
      <c r="H1118" s="147"/>
      <c r="I1118" s="147"/>
      <c r="J1118" s="147"/>
      <c r="K1118" s="147"/>
      <c r="L1118" s="147"/>
      <c r="M1118" s="147"/>
      <c r="N1118" s="147"/>
      <c r="O1118" s="158"/>
      <c r="P1118" s="147"/>
      <c r="Q1118" s="147"/>
      <c r="R1118" s="147"/>
      <c r="S1118" s="147"/>
      <c r="T1118" s="147"/>
      <c r="U1118" s="147"/>
      <c r="V1118" s="147"/>
      <c r="W1118" s="147"/>
      <c r="X1118" s="147"/>
      <c r="Y1118" s="147"/>
      <c r="Z1118" s="147"/>
      <c r="AA1118" s="147"/>
      <c r="AB1118" s="147"/>
      <c r="AC1118" s="147"/>
      <c r="AD1118" s="147"/>
      <c r="AE1118" s="147"/>
      <c r="AF1118" s="147"/>
      <c r="AG1118" s="147"/>
      <c r="AH1118" s="147"/>
      <c r="AI1118" s="147"/>
      <c r="AJ1118" s="147"/>
      <c r="AK1118" s="147"/>
      <c r="AL1118" s="147"/>
      <c r="AM1118" s="147"/>
      <c r="AN1118" s="147"/>
      <c r="AO1118" s="147"/>
      <c r="AP1118" s="147"/>
      <c r="AQ1118" s="147"/>
      <c r="AR1118" s="147"/>
      <c r="AS1118" s="147"/>
      <c r="AT1118" s="147"/>
      <c r="AU1118" s="147"/>
      <c r="AV1118" s="147"/>
      <c r="AW1118" s="147"/>
      <c r="AX1118" s="147"/>
      <c r="AY1118" s="147"/>
      <c r="AZ1118" s="147"/>
      <c r="BA1118" s="147"/>
      <c r="BB1118" s="147"/>
      <c r="BC1118" s="147"/>
      <c r="BD1118" s="147"/>
      <c r="BE1118" s="147"/>
      <c r="BF1118" s="147"/>
      <c r="BG1118" s="147"/>
      <c r="BH1118" s="147"/>
      <c r="BI1118" s="147"/>
      <c r="BJ1118" s="147"/>
      <c r="BK1118" s="147"/>
      <c r="BL1118" s="147"/>
      <c r="BM1118" s="147"/>
      <c r="BN1118" s="147"/>
      <c r="BO1118" s="147"/>
      <c r="BP1118" s="147"/>
      <c r="BQ1118" s="147"/>
      <c r="BR1118" s="147"/>
      <c r="BS1118" s="147"/>
      <c r="BT1118" s="147"/>
      <c r="BU1118" s="147"/>
      <c r="BV1118" s="147"/>
      <c r="BW1118" s="147"/>
      <c r="BX1118" s="147"/>
      <c r="BY1118" s="147"/>
      <c r="BZ1118" s="147"/>
      <c r="CA1118" s="147"/>
      <c r="CB1118" s="147"/>
      <c r="CC1118" s="147"/>
      <c r="CD1118" s="147"/>
      <c r="CE1118" s="147"/>
      <c r="CF1118" s="147"/>
      <c r="CG1118" s="147"/>
      <c r="CH1118" s="147"/>
      <c r="CI1118" s="147"/>
      <c r="CJ1118" s="147"/>
      <c r="CK1118" s="147"/>
    </row>
    <row r="1119" spans="1:89">
      <c r="A1119" s="147"/>
      <c r="B1119" s="147"/>
      <c r="C1119" s="147"/>
      <c r="D1119" s="147"/>
      <c r="E1119" s="147"/>
      <c r="F1119" s="147"/>
      <c r="G1119" s="147"/>
      <c r="H1119" s="147"/>
      <c r="I1119" s="147"/>
      <c r="J1119" s="147"/>
      <c r="K1119" s="147"/>
      <c r="L1119" s="147"/>
      <c r="M1119" s="147"/>
      <c r="N1119" s="147"/>
      <c r="O1119" s="158"/>
      <c r="P1119" s="147"/>
      <c r="Q1119" s="147"/>
      <c r="R1119" s="147"/>
      <c r="S1119" s="147"/>
      <c r="T1119" s="147"/>
      <c r="U1119" s="147"/>
      <c r="V1119" s="147"/>
      <c r="W1119" s="147"/>
      <c r="X1119" s="147"/>
      <c r="Y1119" s="147"/>
      <c r="Z1119" s="147"/>
      <c r="AA1119" s="147"/>
      <c r="AB1119" s="147"/>
      <c r="AC1119" s="147"/>
      <c r="AD1119" s="147"/>
      <c r="AE1119" s="147"/>
      <c r="AF1119" s="147"/>
      <c r="AG1119" s="147"/>
      <c r="AH1119" s="147"/>
      <c r="AI1119" s="147"/>
      <c r="AJ1119" s="147"/>
      <c r="AK1119" s="147"/>
      <c r="AL1119" s="147"/>
      <c r="AM1119" s="147"/>
      <c r="AN1119" s="147"/>
      <c r="AO1119" s="147"/>
      <c r="AP1119" s="147"/>
      <c r="AQ1119" s="147"/>
      <c r="AR1119" s="147"/>
      <c r="AS1119" s="147"/>
      <c r="AT1119" s="147"/>
      <c r="AU1119" s="147"/>
      <c r="AV1119" s="147"/>
      <c r="AW1119" s="147"/>
      <c r="AX1119" s="147"/>
      <c r="AY1119" s="147"/>
      <c r="AZ1119" s="147"/>
      <c r="BA1119" s="147"/>
      <c r="BB1119" s="147"/>
      <c r="BC1119" s="147"/>
      <c r="BD1119" s="147"/>
      <c r="BE1119" s="147"/>
      <c r="BF1119" s="147"/>
      <c r="BG1119" s="147"/>
      <c r="BH1119" s="147"/>
      <c r="BI1119" s="147"/>
      <c r="BJ1119" s="147"/>
      <c r="BK1119" s="147"/>
      <c r="BL1119" s="147"/>
      <c r="BM1119" s="147"/>
      <c r="BN1119" s="147"/>
      <c r="BO1119" s="147"/>
      <c r="BP1119" s="147"/>
      <c r="BQ1119" s="147"/>
      <c r="BR1119" s="147"/>
      <c r="BS1119" s="147"/>
      <c r="BT1119" s="147"/>
      <c r="BU1119" s="147"/>
      <c r="BV1119" s="147"/>
      <c r="BW1119" s="147"/>
      <c r="BX1119" s="147"/>
      <c r="BY1119" s="147"/>
      <c r="BZ1119" s="147"/>
      <c r="CA1119" s="147"/>
      <c r="CB1119" s="147"/>
      <c r="CC1119" s="147"/>
      <c r="CD1119" s="147"/>
      <c r="CE1119" s="147"/>
      <c r="CF1119" s="147"/>
      <c r="CG1119" s="147"/>
      <c r="CH1119" s="147"/>
      <c r="CI1119" s="147"/>
      <c r="CJ1119" s="147"/>
      <c r="CK1119" s="147"/>
    </row>
    <row r="1120" spans="1:89">
      <c r="A1120" s="147"/>
      <c r="B1120" s="147"/>
      <c r="C1120" s="147"/>
      <c r="D1120" s="147"/>
      <c r="E1120" s="147"/>
      <c r="F1120" s="147"/>
      <c r="G1120" s="147"/>
      <c r="H1120" s="147"/>
      <c r="I1120" s="147"/>
      <c r="J1120" s="147"/>
      <c r="K1120" s="147"/>
      <c r="L1120" s="147"/>
      <c r="M1120" s="147"/>
      <c r="N1120" s="147"/>
      <c r="O1120" s="158"/>
      <c r="P1120" s="147"/>
      <c r="Q1120" s="147"/>
      <c r="R1120" s="147"/>
      <c r="S1120" s="147"/>
      <c r="T1120" s="147"/>
      <c r="U1120" s="147"/>
      <c r="V1120" s="147"/>
      <c r="W1120" s="147"/>
      <c r="X1120" s="147"/>
      <c r="Y1120" s="147"/>
      <c r="Z1120" s="147"/>
      <c r="AA1120" s="147"/>
      <c r="AB1120" s="147"/>
      <c r="AC1120" s="147"/>
      <c r="AD1120" s="147"/>
      <c r="AE1120" s="147"/>
      <c r="AF1120" s="147"/>
      <c r="AG1120" s="147"/>
      <c r="AH1120" s="147"/>
      <c r="AI1120" s="147"/>
      <c r="AJ1120" s="147"/>
      <c r="AK1120" s="147"/>
      <c r="AL1120" s="147"/>
      <c r="AM1120" s="147"/>
      <c r="AN1120" s="147"/>
      <c r="AO1120" s="147"/>
      <c r="AP1120" s="147"/>
      <c r="AQ1120" s="147"/>
      <c r="AR1120" s="147"/>
      <c r="AS1120" s="147"/>
      <c r="AT1120" s="147"/>
      <c r="AU1120" s="147"/>
      <c r="AV1120" s="147"/>
      <c r="AW1120" s="147"/>
      <c r="AX1120" s="147"/>
      <c r="AY1120" s="147"/>
      <c r="AZ1120" s="147"/>
      <c r="BA1120" s="147"/>
      <c r="BB1120" s="147"/>
      <c r="BC1120" s="147"/>
      <c r="BD1120" s="147"/>
      <c r="BE1120" s="147"/>
      <c r="BF1120" s="147"/>
      <c r="BG1120" s="147"/>
      <c r="BH1120" s="147"/>
      <c r="BI1120" s="147"/>
      <c r="BJ1120" s="147"/>
      <c r="BK1120" s="147"/>
      <c r="BL1120" s="147"/>
      <c r="BM1120" s="147"/>
      <c r="BN1120" s="147"/>
      <c r="BO1120" s="147"/>
      <c r="BP1120" s="147"/>
      <c r="BQ1120" s="147"/>
      <c r="BR1120" s="147"/>
      <c r="BS1120" s="147"/>
      <c r="BT1120" s="147"/>
      <c r="BU1120" s="147"/>
      <c r="BV1120" s="147"/>
      <c r="BW1120" s="147"/>
      <c r="BX1120" s="147"/>
      <c r="BY1120" s="147"/>
      <c r="BZ1120" s="147"/>
      <c r="CA1120" s="147"/>
      <c r="CB1120" s="147"/>
      <c r="CC1120" s="147"/>
      <c r="CD1120" s="147"/>
      <c r="CE1120" s="147"/>
      <c r="CF1120" s="147"/>
      <c r="CG1120" s="147"/>
      <c r="CH1120" s="147"/>
      <c r="CI1120" s="147"/>
      <c r="CJ1120" s="147"/>
      <c r="CK1120" s="147"/>
    </row>
    <row r="1121" spans="1:89">
      <c r="A1121" s="147"/>
      <c r="B1121" s="147"/>
      <c r="C1121" s="147"/>
      <c r="D1121" s="147"/>
      <c r="E1121" s="147"/>
      <c r="F1121" s="147"/>
      <c r="G1121" s="147"/>
      <c r="H1121" s="147"/>
      <c r="I1121" s="147"/>
      <c r="J1121" s="147"/>
      <c r="K1121" s="147"/>
      <c r="L1121" s="147"/>
      <c r="M1121" s="147"/>
      <c r="N1121" s="147"/>
      <c r="O1121" s="158"/>
      <c r="P1121" s="147"/>
      <c r="Q1121" s="147"/>
      <c r="R1121" s="147"/>
      <c r="S1121" s="147"/>
      <c r="T1121" s="147"/>
      <c r="U1121" s="147"/>
      <c r="V1121" s="147"/>
      <c r="W1121" s="147"/>
      <c r="X1121" s="147"/>
      <c r="Y1121" s="147"/>
      <c r="Z1121" s="147"/>
      <c r="AA1121" s="147"/>
      <c r="AB1121" s="147"/>
      <c r="AC1121" s="147"/>
      <c r="AD1121" s="147"/>
      <c r="AE1121" s="147"/>
      <c r="AF1121" s="147"/>
      <c r="AG1121" s="147"/>
      <c r="AH1121" s="147"/>
      <c r="AI1121" s="147"/>
      <c r="AJ1121" s="147"/>
      <c r="AK1121" s="147"/>
      <c r="AL1121" s="147"/>
      <c r="AM1121" s="147"/>
      <c r="AN1121" s="147"/>
      <c r="AO1121" s="147"/>
      <c r="AP1121" s="147"/>
      <c r="AQ1121" s="147"/>
      <c r="AR1121" s="147"/>
      <c r="AS1121" s="147"/>
      <c r="AT1121" s="147"/>
      <c r="AU1121" s="147"/>
      <c r="AV1121" s="147"/>
      <c r="AW1121" s="147"/>
      <c r="AX1121" s="147"/>
      <c r="AY1121" s="147"/>
      <c r="AZ1121" s="147"/>
      <c r="BA1121" s="147"/>
      <c r="BB1121" s="147"/>
      <c r="BC1121" s="147"/>
      <c r="BD1121" s="147"/>
      <c r="BE1121" s="147"/>
      <c r="BF1121" s="147"/>
      <c r="BG1121" s="147"/>
      <c r="BH1121" s="147"/>
      <c r="BI1121" s="147"/>
      <c r="BJ1121" s="147"/>
      <c r="BK1121" s="147"/>
      <c r="BL1121" s="147"/>
      <c r="BM1121" s="147"/>
      <c r="BN1121" s="147"/>
      <c r="BO1121" s="147"/>
      <c r="BP1121" s="147"/>
      <c r="BQ1121" s="147"/>
      <c r="BR1121" s="147"/>
      <c r="BS1121" s="147"/>
      <c r="BT1121" s="147"/>
      <c r="BU1121" s="147"/>
      <c r="BV1121" s="147"/>
      <c r="BW1121" s="147"/>
      <c r="BX1121" s="147"/>
      <c r="BY1121" s="147"/>
      <c r="BZ1121" s="147"/>
      <c r="CA1121" s="147"/>
      <c r="CB1121" s="147"/>
      <c r="CC1121" s="147"/>
      <c r="CD1121" s="147"/>
      <c r="CE1121" s="147"/>
      <c r="CF1121" s="147"/>
      <c r="CG1121" s="147"/>
      <c r="CH1121" s="147"/>
      <c r="CI1121" s="147"/>
      <c r="CJ1121" s="147"/>
      <c r="CK1121" s="147"/>
    </row>
    <row r="1122" spans="1:89">
      <c r="A1122" s="147"/>
      <c r="B1122" s="147"/>
      <c r="C1122" s="147"/>
      <c r="D1122" s="147"/>
      <c r="E1122" s="147"/>
      <c r="F1122" s="147"/>
      <c r="G1122" s="147"/>
      <c r="H1122" s="147"/>
      <c r="I1122" s="147"/>
      <c r="J1122" s="147"/>
      <c r="K1122" s="147"/>
      <c r="L1122" s="147"/>
      <c r="M1122" s="147"/>
      <c r="N1122" s="147"/>
      <c r="O1122" s="158"/>
      <c r="P1122" s="147"/>
      <c r="Q1122" s="147"/>
      <c r="R1122" s="147"/>
      <c r="S1122" s="147"/>
      <c r="T1122" s="147"/>
      <c r="U1122" s="147"/>
      <c r="V1122" s="147"/>
      <c r="W1122" s="147"/>
      <c r="X1122" s="147"/>
      <c r="Y1122" s="147"/>
      <c r="Z1122" s="147"/>
      <c r="AA1122" s="147"/>
      <c r="AB1122" s="147"/>
      <c r="AC1122" s="147"/>
      <c r="AD1122" s="147"/>
      <c r="AE1122" s="147"/>
      <c r="AF1122" s="147"/>
      <c r="AG1122" s="147"/>
      <c r="AH1122" s="147"/>
      <c r="AI1122" s="147"/>
      <c r="AJ1122" s="147"/>
      <c r="AK1122" s="147"/>
      <c r="AL1122" s="147"/>
      <c r="AM1122" s="147"/>
      <c r="AN1122" s="147"/>
      <c r="AO1122" s="147"/>
      <c r="AP1122" s="147"/>
      <c r="AQ1122" s="147"/>
      <c r="AR1122" s="147"/>
      <c r="AS1122" s="147"/>
      <c r="AT1122" s="147"/>
      <c r="AU1122" s="147"/>
      <c r="AV1122" s="147"/>
      <c r="AW1122" s="147"/>
      <c r="AX1122" s="147"/>
      <c r="AY1122" s="147"/>
      <c r="AZ1122" s="147"/>
      <c r="BA1122" s="147"/>
      <c r="BB1122" s="147"/>
      <c r="BC1122" s="147"/>
      <c r="BD1122" s="147"/>
      <c r="BE1122" s="147"/>
      <c r="BF1122" s="147"/>
      <c r="BG1122" s="147"/>
      <c r="BH1122" s="147"/>
      <c r="BI1122" s="147"/>
      <c r="BJ1122" s="147"/>
      <c r="BK1122" s="147"/>
      <c r="BL1122" s="147"/>
      <c r="BM1122" s="147"/>
      <c r="BN1122" s="147"/>
      <c r="BO1122" s="147"/>
      <c r="BP1122" s="147"/>
      <c r="BQ1122" s="147"/>
      <c r="BR1122" s="147"/>
      <c r="BS1122" s="147"/>
      <c r="BT1122" s="147"/>
      <c r="BU1122" s="147"/>
      <c r="BV1122" s="147"/>
      <c r="BW1122" s="147"/>
      <c r="BX1122" s="147"/>
      <c r="BY1122" s="147"/>
      <c r="BZ1122" s="147"/>
      <c r="CA1122" s="147"/>
      <c r="CB1122" s="147"/>
      <c r="CC1122" s="147"/>
      <c r="CD1122" s="147"/>
      <c r="CE1122" s="147"/>
      <c r="CF1122" s="147"/>
      <c r="CG1122" s="147"/>
      <c r="CH1122" s="147"/>
      <c r="CI1122" s="147"/>
      <c r="CJ1122" s="147"/>
      <c r="CK1122" s="147"/>
    </row>
    <row r="1123" spans="1:89">
      <c r="A1123" s="147"/>
      <c r="B1123" s="147"/>
      <c r="C1123" s="147"/>
      <c r="D1123" s="147"/>
      <c r="E1123" s="147"/>
      <c r="F1123" s="147"/>
      <c r="G1123" s="147"/>
      <c r="H1123" s="147"/>
      <c r="I1123" s="147"/>
      <c r="J1123" s="147"/>
      <c r="K1123" s="147"/>
      <c r="L1123" s="147"/>
      <c r="M1123" s="147"/>
      <c r="N1123" s="147"/>
      <c r="O1123" s="158"/>
      <c r="P1123" s="147"/>
      <c r="Q1123" s="147"/>
      <c r="R1123" s="147"/>
      <c r="S1123" s="147"/>
      <c r="T1123" s="147"/>
      <c r="U1123" s="147"/>
      <c r="V1123" s="147"/>
      <c r="W1123" s="147"/>
      <c r="X1123" s="147"/>
      <c r="Y1123" s="147"/>
      <c r="Z1123" s="147"/>
      <c r="AA1123" s="147"/>
      <c r="AB1123" s="147"/>
      <c r="AC1123" s="147"/>
      <c r="AD1123" s="147"/>
      <c r="AE1123" s="147"/>
      <c r="AF1123" s="147"/>
      <c r="AG1123" s="147"/>
      <c r="AH1123" s="147"/>
      <c r="AI1123" s="147"/>
      <c r="AJ1123" s="147"/>
      <c r="AK1123" s="147"/>
      <c r="AL1123" s="147"/>
      <c r="AM1123" s="147"/>
      <c r="AN1123" s="147"/>
      <c r="AO1123" s="147"/>
      <c r="AP1123" s="147"/>
      <c r="AQ1123" s="147"/>
      <c r="AR1123" s="147"/>
      <c r="AS1123" s="147"/>
      <c r="AT1123" s="147"/>
      <c r="AU1123" s="147"/>
      <c r="AV1123" s="147"/>
      <c r="AW1123" s="147"/>
      <c r="AX1123" s="147"/>
      <c r="AY1123" s="147"/>
      <c r="AZ1123" s="147"/>
      <c r="BA1123" s="147"/>
      <c r="BB1123" s="147"/>
      <c r="BC1123" s="147"/>
      <c r="BD1123" s="147"/>
      <c r="BE1123" s="147"/>
      <c r="BF1123" s="147"/>
      <c r="BG1123" s="147"/>
      <c r="BH1123" s="147"/>
      <c r="BI1123" s="147"/>
      <c r="BJ1123" s="147"/>
      <c r="BK1123" s="147"/>
      <c r="BL1123" s="147"/>
      <c r="BM1123" s="147"/>
      <c r="BN1123" s="147"/>
      <c r="BO1123" s="147"/>
      <c r="BP1123" s="147"/>
      <c r="BQ1123" s="147"/>
      <c r="BR1123" s="147"/>
      <c r="BS1123" s="147"/>
      <c r="BT1123" s="147"/>
      <c r="BU1123" s="147"/>
      <c r="BV1123" s="147"/>
      <c r="BW1123" s="147"/>
      <c r="BX1123" s="147"/>
      <c r="BY1123" s="147"/>
      <c r="BZ1123" s="147"/>
      <c r="CA1123" s="147"/>
      <c r="CB1123" s="147"/>
      <c r="CC1123" s="147"/>
      <c r="CD1123" s="147"/>
      <c r="CE1123" s="147"/>
      <c r="CF1123" s="147"/>
      <c r="CG1123" s="147"/>
      <c r="CH1123" s="147"/>
      <c r="CI1123" s="147"/>
      <c r="CJ1123" s="147"/>
      <c r="CK1123" s="147"/>
    </row>
    <row r="1124" spans="1:89">
      <c r="A1124" s="147"/>
      <c r="B1124" s="147"/>
      <c r="C1124" s="147"/>
      <c r="D1124" s="147"/>
      <c r="E1124" s="147"/>
      <c r="F1124" s="147"/>
      <c r="G1124" s="147"/>
      <c r="H1124" s="147"/>
      <c r="I1124" s="147"/>
      <c r="J1124" s="147"/>
      <c r="K1124" s="147"/>
      <c r="L1124" s="147"/>
      <c r="M1124" s="147"/>
      <c r="N1124" s="147"/>
      <c r="O1124" s="158"/>
      <c r="P1124" s="147"/>
      <c r="Q1124" s="147"/>
      <c r="R1124" s="147"/>
      <c r="S1124" s="147"/>
      <c r="T1124" s="147"/>
      <c r="U1124" s="147"/>
      <c r="V1124" s="147"/>
      <c r="W1124" s="147"/>
      <c r="X1124" s="147"/>
      <c r="Y1124" s="147"/>
      <c r="Z1124" s="147"/>
      <c r="AA1124" s="147"/>
      <c r="AB1124" s="147"/>
      <c r="AC1124" s="147"/>
      <c r="AD1124" s="147"/>
      <c r="AE1124" s="147"/>
      <c r="AF1124" s="147"/>
      <c r="AG1124" s="147"/>
      <c r="AH1124" s="147"/>
      <c r="AI1124" s="147"/>
      <c r="AJ1124" s="147"/>
      <c r="AK1124" s="147"/>
      <c r="AL1124" s="147"/>
      <c r="AM1124" s="147"/>
      <c r="AN1124" s="147"/>
      <c r="AO1124" s="147"/>
      <c r="AP1124" s="147"/>
      <c r="AQ1124" s="147"/>
      <c r="AR1124" s="147"/>
      <c r="AS1124" s="147"/>
      <c r="AT1124" s="147"/>
      <c r="AU1124" s="147"/>
      <c r="AV1124" s="147"/>
      <c r="AW1124" s="147"/>
      <c r="AX1124" s="147"/>
      <c r="AY1124" s="147"/>
      <c r="AZ1124" s="147"/>
      <c r="BA1124" s="147"/>
      <c r="BB1124" s="147"/>
      <c r="BC1124" s="147"/>
      <c r="BD1124" s="147"/>
      <c r="BE1124" s="147"/>
      <c r="BF1124" s="147"/>
      <c r="BG1124" s="147"/>
      <c r="BH1124" s="147"/>
      <c r="BI1124" s="147"/>
      <c r="BJ1124" s="147"/>
      <c r="BK1124" s="147"/>
      <c r="BL1124" s="147"/>
      <c r="BM1124" s="147"/>
      <c r="BN1124" s="147"/>
      <c r="BO1124" s="147"/>
      <c r="BP1124" s="147"/>
      <c r="BQ1124" s="147"/>
      <c r="BR1124" s="147"/>
      <c r="BS1124" s="147"/>
      <c r="BT1124" s="147"/>
      <c r="BU1124" s="147"/>
      <c r="BV1124" s="147"/>
      <c r="BW1124" s="147"/>
      <c r="BX1124" s="147"/>
      <c r="BY1124" s="147"/>
      <c r="BZ1124" s="147"/>
      <c r="CA1124" s="147"/>
      <c r="CB1124" s="147"/>
      <c r="CC1124" s="147"/>
      <c r="CD1124" s="147"/>
      <c r="CE1124" s="147"/>
      <c r="CF1124" s="147"/>
      <c r="CG1124" s="147"/>
      <c r="CH1124" s="147"/>
      <c r="CI1124" s="147"/>
      <c r="CJ1124" s="147"/>
      <c r="CK1124" s="147"/>
    </row>
    <row r="1125" spans="1:89">
      <c r="A1125" s="147"/>
      <c r="B1125" s="147"/>
      <c r="C1125" s="147"/>
      <c r="D1125" s="147"/>
      <c r="E1125" s="147"/>
      <c r="F1125" s="147"/>
      <c r="G1125" s="147"/>
      <c r="H1125" s="147"/>
      <c r="I1125" s="147"/>
      <c r="J1125" s="147"/>
      <c r="K1125" s="147"/>
      <c r="L1125" s="147"/>
      <c r="M1125" s="147"/>
      <c r="N1125" s="147"/>
      <c r="O1125" s="158"/>
      <c r="P1125" s="147"/>
      <c r="Q1125" s="147"/>
      <c r="R1125" s="147"/>
      <c r="S1125" s="147"/>
      <c r="T1125" s="147"/>
      <c r="U1125" s="147"/>
      <c r="V1125" s="147"/>
      <c r="W1125" s="147"/>
      <c r="X1125" s="147"/>
      <c r="Y1125" s="147"/>
      <c r="Z1125" s="147"/>
      <c r="AA1125" s="147"/>
      <c r="AB1125" s="147"/>
      <c r="AC1125" s="147"/>
      <c r="AD1125" s="147"/>
      <c r="AE1125" s="147"/>
      <c r="AF1125" s="147"/>
      <c r="AG1125" s="147"/>
      <c r="AH1125" s="147"/>
      <c r="AI1125" s="147"/>
      <c r="AJ1125" s="147"/>
      <c r="AK1125" s="147"/>
      <c r="AL1125" s="147"/>
      <c r="AM1125" s="147"/>
      <c r="AN1125" s="147"/>
      <c r="AO1125" s="147"/>
      <c r="AP1125" s="147"/>
      <c r="AQ1125" s="147"/>
      <c r="AR1125" s="147"/>
      <c r="AS1125" s="147"/>
      <c r="AT1125" s="147"/>
      <c r="AU1125" s="147"/>
      <c r="AV1125" s="147"/>
      <c r="AW1125" s="147"/>
      <c r="AX1125" s="147"/>
      <c r="AY1125" s="147"/>
      <c r="AZ1125" s="147"/>
      <c r="BA1125" s="147"/>
      <c r="BB1125" s="147"/>
      <c r="BC1125" s="147"/>
      <c r="BD1125" s="147"/>
      <c r="BE1125" s="147"/>
      <c r="BF1125" s="147"/>
      <c r="BG1125" s="147"/>
      <c r="BH1125" s="147"/>
      <c r="BI1125" s="147"/>
      <c r="BJ1125" s="147"/>
      <c r="BK1125" s="147"/>
      <c r="BL1125" s="147"/>
      <c r="BM1125" s="147"/>
      <c r="BN1125" s="147"/>
      <c r="BO1125" s="147"/>
      <c r="BP1125" s="147"/>
      <c r="BQ1125" s="147"/>
      <c r="BR1125" s="147"/>
      <c r="BS1125" s="147"/>
      <c r="BT1125" s="147"/>
      <c r="BU1125" s="147"/>
      <c r="BV1125" s="147"/>
      <c r="BW1125" s="147"/>
      <c r="BX1125" s="147"/>
      <c r="BY1125" s="147"/>
      <c r="BZ1125" s="147"/>
      <c r="CA1125" s="147"/>
      <c r="CB1125" s="147"/>
      <c r="CC1125" s="147"/>
      <c r="CD1125" s="147"/>
      <c r="CE1125" s="147"/>
      <c r="CF1125" s="147"/>
      <c r="CG1125" s="147"/>
      <c r="CH1125" s="147"/>
      <c r="CI1125" s="147"/>
      <c r="CJ1125" s="147"/>
      <c r="CK1125" s="147"/>
    </row>
    <row r="1126" spans="1:89">
      <c r="A1126" s="147"/>
      <c r="B1126" s="147"/>
      <c r="C1126" s="147"/>
      <c r="D1126" s="147"/>
      <c r="E1126" s="147"/>
      <c r="F1126" s="147"/>
      <c r="G1126" s="147"/>
      <c r="H1126" s="147"/>
      <c r="I1126" s="147"/>
      <c r="J1126" s="147"/>
      <c r="K1126" s="147"/>
      <c r="L1126" s="147"/>
      <c r="M1126" s="147"/>
      <c r="N1126" s="147"/>
      <c r="O1126" s="158"/>
      <c r="P1126" s="147"/>
      <c r="Q1126" s="147"/>
      <c r="R1126" s="147"/>
      <c r="S1126" s="147"/>
      <c r="T1126" s="147"/>
      <c r="U1126" s="147"/>
      <c r="V1126" s="147"/>
      <c r="W1126" s="147"/>
      <c r="X1126" s="147"/>
      <c r="Y1126" s="147"/>
      <c r="Z1126" s="147"/>
      <c r="AA1126" s="147"/>
      <c r="AB1126" s="147"/>
      <c r="AC1126" s="147"/>
      <c r="AD1126" s="147"/>
      <c r="AE1126" s="147"/>
      <c r="AF1126" s="147"/>
      <c r="AG1126" s="147"/>
      <c r="AH1126" s="147"/>
      <c r="AI1126" s="147"/>
      <c r="AJ1126" s="147"/>
      <c r="AK1126" s="147"/>
      <c r="AL1126" s="147"/>
      <c r="AM1126" s="147"/>
      <c r="AN1126" s="147"/>
      <c r="AO1126" s="147"/>
      <c r="AP1126" s="147"/>
      <c r="AQ1126" s="147"/>
      <c r="AR1126" s="147"/>
      <c r="AS1126" s="147"/>
      <c r="AT1126" s="147"/>
      <c r="AU1126" s="147"/>
      <c r="AV1126" s="147"/>
      <c r="AW1126" s="147"/>
      <c r="AX1126" s="147"/>
      <c r="AY1126" s="147"/>
      <c r="AZ1126" s="147"/>
      <c r="BA1126" s="147"/>
      <c r="BB1126" s="147"/>
      <c r="BC1126" s="147"/>
      <c r="BD1126" s="147"/>
      <c r="BE1126" s="147"/>
      <c r="BF1126" s="147"/>
      <c r="BG1126" s="147"/>
      <c r="BH1126" s="147"/>
      <c r="BI1126" s="147"/>
      <c r="BJ1126" s="147"/>
      <c r="BK1126" s="147"/>
      <c r="BL1126" s="147"/>
      <c r="BM1126" s="147"/>
      <c r="BN1126" s="147"/>
      <c r="BO1126" s="147"/>
      <c r="BP1126" s="147"/>
      <c r="BQ1126" s="147"/>
      <c r="BR1126" s="147"/>
      <c r="BS1126" s="147"/>
      <c r="BT1126" s="147"/>
      <c r="BU1126" s="147"/>
      <c r="BV1126" s="147"/>
      <c r="BW1126" s="147"/>
      <c r="BX1126" s="147"/>
      <c r="BY1126" s="147"/>
      <c r="BZ1126" s="147"/>
      <c r="CA1126" s="147"/>
      <c r="CB1126" s="147"/>
      <c r="CC1126" s="147"/>
      <c r="CD1126" s="147"/>
      <c r="CE1126" s="147"/>
      <c r="CF1126" s="147"/>
      <c r="CG1126" s="147"/>
      <c r="CH1126" s="147"/>
      <c r="CI1126" s="147"/>
      <c r="CJ1126" s="147"/>
      <c r="CK1126" s="147"/>
    </row>
    <row r="1127" spans="1:89">
      <c r="A1127" s="147"/>
      <c r="B1127" s="147"/>
      <c r="C1127" s="147"/>
      <c r="D1127" s="147"/>
      <c r="E1127" s="147"/>
      <c r="F1127" s="147"/>
      <c r="G1127" s="147"/>
      <c r="H1127" s="147"/>
      <c r="I1127" s="147"/>
      <c r="J1127" s="147"/>
      <c r="K1127" s="147"/>
      <c r="L1127" s="147"/>
      <c r="M1127" s="147"/>
      <c r="N1127" s="147"/>
      <c r="O1127" s="158"/>
      <c r="P1127" s="147"/>
      <c r="Q1127" s="147"/>
      <c r="R1127" s="147"/>
      <c r="S1127" s="147"/>
      <c r="T1127" s="147"/>
      <c r="U1127" s="147"/>
      <c r="V1127" s="147"/>
      <c r="W1127" s="147"/>
      <c r="X1127" s="147"/>
      <c r="Y1127" s="147"/>
      <c r="Z1127" s="147"/>
      <c r="AA1127" s="147"/>
      <c r="AB1127" s="147"/>
      <c r="AC1127" s="147"/>
      <c r="AD1127" s="147"/>
      <c r="AE1127" s="147"/>
      <c r="AF1127" s="147"/>
      <c r="AG1127" s="147"/>
      <c r="AH1127" s="147"/>
      <c r="AI1127" s="147"/>
      <c r="AJ1127" s="147"/>
      <c r="AK1127" s="147"/>
      <c r="AL1127" s="147"/>
      <c r="AM1127" s="147"/>
      <c r="AN1127" s="147"/>
      <c r="AO1127" s="147"/>
      <c r="AP1127" s="147"/>
      <c r="AQ1127" s="147"/>
      <c r="AR1127" s="147"/>
      <c r="AS1127" s="147"/>
      <c r="AT1127" s="147"/>
      <c r="AU1127" s="147"/>
      <c r="AV1127" s="147"/>
      <c r="AW1127" s="147"/>
      <c r="AX1127" s="147"/>
      <c r="AY1127" s="147"/>
      <c r="AZ1127" s="147"/>
      <c r="BA1127" s="147"/>
      <c r="BB1127" s="147"/>
      <c r="BC1127" s="147"/>
      <c r="BD1127" s="147"/>
      <c r="BE1127" s="147"/>
      <c r="BF1127" s="147"/>
      <c r="BG1127" s="147"/>
      <c r="BH1127" s="147"/>
      <c r="BI1127" s="147"/>
      <c r="BJ1127" s="147"/>
      <c r="BK1127" s="147"/>
      <c r="BL1127" s="147"/>
      <c r="BM1127" s="147"/>
      <c r="BN1127" s="147"/>
      <c r="BO1127" s="147"/>
      <c r="BP1127" s="147"/>
      <c r="BQ1127" s="147"/>
      <c r="BR1127" s="147"/>
      <c r="BS1127" s="147"/>
      <c r="BT1127" s="147"/>
      <c r="BU1127" s="147"/>
      <c r="BV1127" s="147"/>
      <c r="BW1127" s="147"/>
      <c r="BX1127" s="147"/>
      <c r="BY1127" s="147"/>
      <c r="BZ1127" s="147"/>
      <c r="CA1127" s="147"/>
      <c r="CB1127" s="147"/>
      <c r="CC1127" s="147"/>
      <c r="CD1127" s="147"/>
      <c r="CE1127" s="147"/>
      <c r="CF1127" s="147"/>
      <c r="CG1127" s="147"/>
      <c r="CH1127" s="147"/>
      <c r="CI1127" s="147"/>
      <c r="CJ1127" s="147"/>
      <c r="CK1127" s="147"/>
    </row>
    <row r="1128" spans="1:89">
      <c r="A1128" s="147"/>
      <c r="B1128" s="147"/>
      <c r="C1128" s="147"/>
      <c r="D1128" s="147"/>
      <c r="E1128" s="147"/>
      <c r="F1128" s="147"/>
      <c r="G1128" s="147"/>
      <c r="H1128" s="147"/>
      <c r="I1128" s="147"/>
      <c r="J1128" s="147"/>
      <c r="K1128" s="147"/>
      <c r="L1128" s="147"/>
      <c r="M1128" s="147"/>
      <c r="N1128" s="147"/>
      <c r="O1128" s="158"/>
      <c r="P1128" s="147"/>
      <c r="Q1128" s="147"/>
      <c r="R1128" s="147"/>
      <c r="S1128" s="147"/>
      <c r="T1128" s="147"/>
      <c r="U1128" s="147"/>
      <c r="V1128" s="147"/>
      <c r="W1128" s="147"/>
      <c r="X1128" s="147"/>
      <c r="Y1128" s="147"/>
      <c r="Z1128" s="147"/>
      <c r="AA1128" s="147"/>
      <c r="AB1128" s="147"/>
      <c r="AC1128" s="147"/>
      <c r="AD1128" s="147"/>
      <c r="AE1128" s="147"/>
      <c r="AF1128" s="147"/>
      <c r="AG1128" s="147"/>
      <c r="AH1128" s="147"/>
      <c r="AI1128" s="147"/>
      <c r="AJ1128" s="147"/>
      <c r="AK1128" s="147"/>
      <c r="AL1128" s="147"/>
      <c r="AM1128" s="147"/>
      <c r="AN1128" s="147"/>
      <c r="AO1128" s="147"/>
      <c r="AP1128" s="147"/>
      <c r="AQ1128" s="147"/>
      <c r="AR1128" s="147"/>
      <c r="AS1128" s="147"/>
      <c r="AT1128" s="147"/>
      <c r="AU1128" s="147"/>
      <c r="AV1128" s="147"/>
      <c r="AW1128" s="147"/>
      <c r="AX1128" s="147"/>
      <c r="AY1128" s="147"/>
      <c r="AZ1128" s="147"/>
      <c r="BA1128" s="147"/>
      <c r="BB1128" s="147"/>
      <c r="BC1128" s="147"/>
      <c r="BD1128" s="147"/>
      <c r="BE1128" s="147"/>
      <c r="BF1128" s="147"/>
      <c r="BG1128" s="147"/>
      <c r="BH1128" s="147"/>
      <c r="BI1128" s="147"/>
      <c r="BJ1128" s="147"/>
      <c r="BK1128" s="147"/>
      <c r="BL1128" s="147"/>
      <c r="BM1128" s="147"/>
      <c r="BN1128" s="147"/>
      <c r="BO1128" s="147"/>
      <c r="BP1128" s="147"/>
      <c r="BQ1128" s="147"/>
      <c r="BR1128" s="147"/>
      <c r="BS1128" s="147"/>
      <c r="BT1128" s="147"/>
      <c r="BU1128" s="147"/>
      <c r="BV1128" s="147"/>
      <c r="BW1128" s="147"/>
      <c r="BX1128" s="147"/>
      <c r="BY1128" s="147"/>
      <c r="BZ1128" s="147"/>
      <c r="CA1128" s="147"/>
      <c r="CB1128" s="147"/>
      <c r="CC1128" s="147"/>
      <c r="CD1128" s="147"/>
      <c r="CE1128" s="147"/>
      <c r="CF1128" s="147"/>
      <c r="CG1128" s="147"/>
      <c r="CH1128" s="147"/>
      <c r="CI1128" s="147"/>
      <c r="CJ1128" s="147"/>
      <c r="CK1128" s="147"/>
    </row>
    <row r="1129" spans="1:89">
      <c r="A1129" s="147"/>
      <c r="B1129" s="147"/>
      <c r="C1129" s="147"/>
      <c r="D1129" s="147"/>
      <c r="E1129" s="147"/>
      <c r="F1129" s="147"/>
      <c r="G1129" s="147"/>
      <c r="H1129" s="147"/>
      <c r="I1129" s="147"/>
      <c r="J1129" s="147"/>
      <c r="K1129" s="147"/>
      <c r="L1129" s="147"/>
      <c r="M1129" s="147"/>
      <c r="N1129" s="147"/>
      <c r="O1129" s="158"/>
      <c r="P1129" s="147"/>
      <c r="Q1129" s="147"/>
      <c r="R1129" s="147"/>
      <c r="S1129" s="147"/>
      <c r="T1129" s="147"/>
      <c r="U1129" s="147"/>
      <c r="V1129" s="147"/>
      <c r="W1129" s="147"/>
      <c r="X1129" s="147"/>
      <c r="Y1129" s="147"/>
      <c r="Z1129" s="147"/>
      <c r="AA1129" s="147"/>
      <c r="AB1129" s="147"/>
      <c r="AC1129" s="147"/>
      <c r="AD1129" s="147"/>
      <c r="AE1129" s="147"/>
      <c r="AF1129" s="147"/>
      <c r="AG1129" s="147"/>
      <c r="AH1129" s="147"/>
      <c r="AI1129" s="147"/>
      <c r="AJ1129" s="147"/>
      <c r="AK1129" s="147"/>
      <c r="AL1129" s="147"/>
      <c r="AM1129" s="147"/>
      <c r="AN1129" s="147"/>
      <c r="AO1129" s="147"/>
      <c r="AP1129" s="147"/>
      <c r="AQ1129" s="147"/>
      <c r="AR1129" s="147"/>
      <c r="AS1129" s="147"/>
      <c r="AT1129" s="147"/>
      <c r="AU1129" s="147"/>
      <c r="AV1129" s="147"/>
      <c r="AW1129" s="147"/>
      <c r="AX1129" s="147"/>
      <c r="AY1129" s="147"/>
      <c r="AZ1129" s="147"/>
      <c r="BA1129" s="147"/>
      <c r="BB1129" s="147"/>
      <c r="BC1129" s="147"/>
      <c r="BD1129" s="147"/>
      <c r="BE1129" s="147"/>
      <c r="BF1129" s="147"/>
      <c r="BG1129" s="147"/>
      <c r="BH1129" s="147"/>
      <c r="BI1129" s="147"/>
      <c r="BJ1129" s="147"/>
      <c r="BK1129" s="147"/>
      <c r="BL1129" s="147"/>
      <c r="BM1129" s="147"/>
      <c r="BN1129" s="147"/>
      <c r="BO1129" s="147"/>
      <c r="BP1129" s="147"/>
      <c r="BQ1129" s="147"/>
      <c r="BR1129" s="147"/>
      <c r="BS1129" s="147"/>
      <c r="BT1129" s="147"/>
      <c r="BU1129" s="147"/>
      <c r="BV1129" s="147"/>
      <c r="BW1129" s="147"/>
      <c r="BX1129" s="147"/>
      <c r="BY1129" s="147"/>
      <c r="BZ1129" s="147"/>
      <c r="CA1129" s="147"/>
      <c r="CB1129" s="147"/>
      <c r="CC1129" s="147"/>
      <c r="CD1129" s="147"/>
      <c r="CE1129" s="147"/>
      <c r="CF1129" s="147"/>
      <c r="CG1129" s="147"/>
      <c r="CH1129" s="147"/>
      <c r="CI1129" s="147"/>
      <c r="CJ1129" s="147"/>
      <c r="CK1129" s="147"/>
    </row>
    <row r="1130" spans="1:89">
      <c r="A1130" s="147"/>
      <c r="B1130" s="147"/>
      <c r="C1130" s="147"/>
      <c r="D1130" s="147"/>
      <c r="E1130" s="147"/>
      <c r="F1130" s="147"/>
      <c r="G1130" s="147"/>
      <c r="H1130" s="147"/>
      <c r="I1130" s="147"/>
      <c r="J1130" s="147"/>
      <c r="K1130" s="147"/>
      <c r="L1130" s="147"/>
      <c r="M1130" s="147"/>
      <c r="N1130" s="147"/>
      <c r="O1130" s="158"/>
      <c r="P1130" s="147"/>
      <c r="Q1130" s="147"/>
      <c r="R1130" s="147"/>
      <c r="S1130" s="147"/>
      <c r="T1130" s="147"/>
      <c r="U1130" s="147"/>
      <c r="V1130" s="147"/>
      <c r="W1130" s="147"/>
      <c r="X1130" s="147"/>
      <c r="Y1130" s="147"/>
      <c r="Z1130" s="147"/>
      <c r="AA1130" s="147"/>
      <c r="AB1130" s="147"/>
      <c r="AC1130" s="147"/>
      <c r="AD1130" s="147"/>
      <c r="AE1130" s="147"/>
      <c r="AF1130" s="147"/>
      <c r="AG1130" s="147"/>
      <c r="AH1130" s="147"/>
      <c r="AI1130" s="147"/>
      <c r="AJ1130" s="147"/>
      <c r="AK1130" s="147"/>
      <c r="AL1130" s="147"/>
      <c r="AM1130" s="147"/>
      <c r="AN1130" s="147"/>
      <c r="AO1130" s="147"/>
      <c r="AP1130" s="147"/>
      <c r="AQ1130" s="147"/>
      <c r="AR1130" s="147"/>
      <c r="AS1130" s="147"/>
      <c r="AT1130" s="147"/>
      <c r="AU1130" s="147"/>
      <c r="AV1130" s="147"/>
      <c r="AW1130" s="147"/>
      <c r="AX1130" s="147"/>
      <c r="AY1130" s="147"/>
      <c r="AZ1130" s="147"/>
      <c r="BA1130" s="147"/>
      <c r="BB1130" s="147"/>
      <c r="BC1130" s="147"/>
      <c r="BD1130" s="147"/>
      <c r="BE1130" s="147"/>
      <c r="BF1130" s="147"/>
      <c r="BG1130" s="147"/>
      <c r="BH1130" s="147"/>
      <c r="BI1130" s="147"/>
      <c r="BJ1130" s="147"/>
      <c r="BK1130" s="147"/>
      <c r="BL1130" s="147"/>
      <c r="BM1130" s="147"/>
      <c r="BN1130" s="147"/>
      <c r="BO1130" s="147"/>
      <c r="BP1130" s="147"/>
      <c r="BQ1130" s="147"/>
      <c r="BR1130" s="147"/>
      <c r="BS1130" s="147"/>
      <c r="BT1130" s="147"/>
      <c r="BU1130" s="147"/>
      <c r="BV1130" s="147"/>
      <c r="BW1130" s="147"/>
      <c r="BX1130" s="147"/>
      <c r="BY1130" s="147"/>
      <c r="BZ1130" s="147"/>
      <c r="CA1130" s="147"/>
      <c r="CB1130" s="147"/>
      <c r="CC1130" s="147"/>
      <c r="CD1130" s="147"/>
      <c r="CE1130" s="147"/>
      <c r="CF1130" s="147"/>
      <c r="CG1130" s="147"/>
      <c r="CH1130" s="147"/>
      <c r="CI1130" s="147"/>
      <c r="CJ1130" s="147"/>
      <c r="CK1130" s="147"/>
    </row>
    <row r="1131" spans="1:89">
      <c r="A1131" s="147"/>
      <c r="B1131" s="147"/>
      <c r="C1131" s="147"/>
      <c r="D1131" s="147"/>
      <c r="E1131" s="147"/>
      <c r="F1131" s="147"/>
      <c r="G1131" s="147"/>
      <c r="H1131" s="147"/>
      <c r="I1131" s="147"/>
      <c r="J1131" s="147"/>
      <c r="K1131" s="147"/>
      <c r="L1131" s="147"/>
      <c r="M1131" s="147"/>
      <c r="N1131" s="147"/>
      <c r="O1131" s="158"/>
      <c r="P1131" s="147"/>
      <c r="Q1131" s="147"/>
      <c r="R1131" s="147"/>
      <c r="S1131" s="147"/>
      <c r="T1131" s="147"/>
      <c r="U1131" s="147"/>
      <c r="V1131" s="147"/>
      <c r="W1131" s="147"/>
      <c r="X1131" s="147"/>
      <c r="Y1131" s="147"/>
      <c r="Z1131" s="147"/>
      <c r="AA1131" s="147"/>
      <c r="AB1131" s="147"/>
      <c r="AC1131" s="147"/>
      <c r="AD1131" s="147"/>
      <c r="AE1131" s="147"/>
      <c r="AF1131" s="147"/>
      <c r="AG1131" s="147"/>
      <c r="AH1131" s="147"/>
      <c r="AI1131" s="147"/>
      <c r="AJ1131" s="147"/>
      <c r="AK1131" s="147"/>
      <c r="AL1131" s="147"/>
      <c r="AM1131" s="147"/>
      <c r="AN1131" s="147"/>
      <c r="AO1131" s="147"/>
      <c r="AP1131" s="147"/>
      <c r="AQ1131" s="147"/>
      <c r="AR1131" s="147"/>
      <c r="AS1131" s="147"/>
      <c r="AT1131" s="147"/>
      <c r="AU1131" s="147"/>
      <c r="AV1131" s="147"/>
      <c r="AW1131" s="147"/>
      <c r="AX1131" s="147"/>
      <c r="AY1131" s="147"/>
      <c r="AZ1131" s="147"/>
      <c r="BA1131" s="147"/>
      <c r="BB1131" s="147"/>
      <c r="BC1131" s="147"/>
      <c r="BD1131" s="147"/>
      <c r="BE1131" s="147"/>
      <c r="BF1131" s="147"/>
      <c r="BG1131" s="147"/>
      <c r="BH1131" s="147"/>
      <c r="BI1131" s="147"/>
      <c r="BJ1131" s="147"/>
      <c r="BK1131" s="147"/>
      <c r="BL1131" s="147"/>
      <c r="BM1131" s="147"/>
      <c r="BN1131" s="147"/>
      <c r="BO1131" s="147"/>
      <c r="BP1131" s="147"/>
      <c r="BQ1131" s="147"/>
      <c r="BR1131" s="147"/>
      <c r="BS1131" s="147"/>
      <c r="BT1131" s="147"/>
      <c r="BU1131" s="147"/>
      <c r="BV1131" s="147"/>
      <c r="BW1131" s="147"/>
      <c r="BX1131" s="147"/>
      <c r="BY1131" s="147"/>
      <c r="BZ1131" s="147"/>
      <c r="CA1131" s="147"/>
      <c r="CB1131" s="147"/>
      <c r="CC1131" s="147"/>
      <c r="CD1131" s="147"/>
      <c r="CE1131" s="147"/>
      <c r="CF1131" s="147"/>
      <c r="CG1131" s="147"/>
      <c r="CH1131" s="147"/>
      <c r="CI1131" s="147"/>
      <c r="CJ1131" s="147"/>
      <c r="CK1131" s="147"/>
    </row>
    <row r="1132" spans="1:89">
      <c r="A1132" s="147"/>
      <c r="B1132" s="147"/>
      <c r="C1132" s="147"/>
      <c r="D1132" s="147"/>
      <c r="E1132" s="147"/>
      <c r="F1132" s="147"/>
      <c r="G1132" s="147"/>
      <c r="H1132" s="147"/>
      <c r="I1132" s="147"/>
      <c r="J1132" s="147"/>
      <c r="K1132" s="147"/>
      <c r="L1132" s="147"/>
      <c r="M1132" s="147"/>
      <c r="N1132" s="147"/>
      <c r="O1132" s="158"/>
      <c r="P1132" s="147"/>
      <c r="Q1132" s="147"/>
      <c r="R1132" s="147"/>
      <c r="S1132" s="147"/>
      <c r="T1132" s="147"/>
      <c r="U1132" s="147"/>
      <c r="V1132" s="147"/>
      <c r="W1132" s="147"/>
      <c r="X1132" s="147"/>
      <c r="Y1132" s="147"/>
      <c r="Z1132" s="147"/>
      <c r="AA1132" s="147"/>
      <c r="AB1132" s="147"/>
      <c r="AC1132" s="147"/>
      <c r="AD1132" s="147"/>
      <c r="AE1132" s="147"/>
      <c r="AF1132" s="147"/>
      <c r="AG1132" s="147"/>
      <c r="AH1132" s="147"/>
      <c r="AI1132" s="147"/>
      <c r="AJ1132" s="147"/>
      <c r="AK1132" s="147"/>
      <c r="AL1132" s="147"/>
      <c r="AM1132" s="147"/>
      <c r="AN1132" s="147"/>
      <c r="AO1132" s="147"/>
      <c r="AP1132" s="147"/>
      <c r="AQ1132" s="147"/>
      <c r="AR1132" s="147"/>
      <c r="AS1132" s="147"/>
      <c r="AT1132" s="147"/>
      <c r="AU1132" s="147"/>
      <c r="AV1132" s="147"/>
      <c r="AW1132" s="147"/>
      <c r="AX1132" s="147"/>
      <c r="AY1132" s="147"/>
      <c r="AZ1132" s="147"/>
      <c r="BA1132" s="147"/>
      <c r="BB1132" s="147"/>
      <c r="BC1132" s="147"/>
      <c r="BD1132" s="147"/>
      <c r="BE1132" s="147"/>
      <c r="BF1132" s="147"/>
      <c r="BG1132" s="147"/>
      <c r="BH1132" s="147"/>
      <c r="BI1132" s="147"/>
      <c r="BJ1132" s="147"/>
      <c r="BK1132" s="147"/>
      <c r="BL1132" s="147"/>
      <c r="BM1132" s="147"/>
      <c r="BN1132" s="147"/>
      <c r="BO1132" s="147"/>
      <c r="BP1132" s="147"/>
      <c r="BQ1132" s="147"/>
      <c r="BR1132" s="147"/>
      <c r="BS1132" s="147"/>
      <c r="BT1132" s="147"/>
      <c r="BU1132" s="147"/>
      <c r="BV1132" s="147"/>
      <c r="BW1132" s="147"/>
      <c r="BX1132" s="147"/>
      <c r="BY1132" s="147"/>
      <c r="BZ1132" s="147"/>
      <c r="CA1132" s="147"/>
      <c r="CB1132" s="147"/>
      <c r="CC1132" s="147"/>
      <c r="CD1132" s="147"/>
      <c r="CE1132" s="147"/>
      <c r="CF1132" s="147"/>
      <c r="CG1132" s="147"/>
      <c r="CH1132" s="147"/>
      <c r="CI1132" s="147"/>
      <c r="CJ1132" s="147"/>
      <c r="CK1132" s="147"/>
    </row>
    <row r="1133" spans="1:89">
      <c r="A1133" s="147"/>
      <c r="B1133" s="147"/>
      <c r="C1133" s="147"/>
      <c r="D1133" s="147"/>
      <c r="E1133" s="147"/>
      <c r="F1133" s="147"/>
      <c r="G1133" s="147"/>
      <c r="H1133" s="147"/>
      <c r="I1133" s="147"/>
      <c r="J1133" s="147"/>
      <c r="K1133" s="147"/>
      <c r="L1133" s="147"/>
      <c r="M1133" s="147"/>
      <c r="N1133" s="147"/>
      <c r="O1133" s="158"/>
      <c r="P1133" s="147"/>
      <c r="Q1133" s="147"/>
      <c r="R1133" s="147"/>
      <c r="S1133" s="147"/>
      <c r="T1133" s="147"/>
      <c r="U1133" s="147"/>
      <c r="V1133" s="147"/>
      <c r="W1133" s="147"/>
      <c r="X1133" s="147"/>
      <c r="Y1133" s="147"/>
      <c r="Z1133" s="147"/>
      <c r="AA1133" s="147"/>
      <c r="AB1133" s="147"/>
      <c r="AC1133" s="147"/>
      <c r="AD1133" s="147"/>
      <c r="AE1133" s="147"/>
      <c r="AF1133" s="147"/>
      <c r="AG1133" s="147"/>
      <c r="AH1133" s="147"/>
      <c r="AI1133" s="147"/>
      <c r="AJ1133" s="147"/>
      <c r="AK1133" s="147"/>
      <c r="AL1133" s="147"/>
      <c r="AM1133" s="147"/>
      <c r="AN1133" s="147"/>
      <c r="AO1133" s="147"/>
      <c r="AP1133" s="147"/>
      <c r="AQ1133" s="147"/>
      <c r="AR1133" s="147"/>
      <c r="AS1133" s="147"/>
      <c r="AT1133" s="147"/>
      <c r="AU1133" s="147"/>
      <c r="AV1133" s="147"/>
      <c r="AW1133" s="147"/>
      <c r="AX1133" s="147"/>
      <c r="AY1133" s="147"/>
      <c r="AZ1133" s="147"/>
      <c r="BA1133" s="147"/>
      <c r="BB1133" s="147"/>
      <c r="BC1133" s="147"/>
      <c r="BD1133" s="147"/>
      <c r="BE1133" s="147"/>
      <c r="BF1133" s="147"/>
      <c r="BG1133" s="147"/>
      <c r="BH1133" s="147"/>
      <c r="BI1133" s="147"/>
      <c r="BJ1133" s="147"/>
      <c r="BK1133" s="147"/>
      <c r="BL1133" s="147"/>
      <c r="BM1133" s="147"/>
      <c r="BN1133" s="147"/>
      <c r="BO1133" s="147"/>
      <c r="BP1133" s="147"/>
      <c r="BQ1133" s="147"/>
      <c r="BR1133" s="147"/>
      <c r="BS1133" s="147"/>
      <c r="BT1133" s="147"/>
      <c r="BU1133" s="147"/>
      <c r="BV1133" s="147"/>
      <c r="BW1133" s="147"/>
      <c r="BX1133" s="147"/>
      <c r="BY1133" s="147"/>
      <c r="BZ1133" s="147"/>
      <c r="CA1133" s="147"/>
      <c r="CB1133" s="147"/>
      <c r="CC1133" s="147"/>
      <c r="CD1133" s="147"/>
      <c r="CE1133" s="147"/>
      <c r="CF1133" s="147"/>
      <c r="CG1133" s="147"/>
      <c r="CH1133" s="147"/>
      <c r="CI1133" s="147"/>
      <c r="CJ1133" s="147"/>
      <c r="CK1133" s="147"/>
    </row>
    <row r="1134" spans="1:89">
      <c r="A1134" s="147"/>
      <c r="B1134" s="147"/>
      <c r="C1134" s="147"/>
      <c r="D1134" s="147"/>
      <c r="E1134" s="147"/>
      <c r="F1134" s="147"/>
      <c r="G1134" s="147"/>
      <c r="H1134" s="147"/>
      <c r="I1134" s="147"/>
      <c r="J1134" s="147"/>
      <c r="K1134" s="147"/>
      <c r="L1134" s="147"/>
      <c r="M1134" s="147"/>
      <c r="N1134" s="147"/>
      <c r="O1134" s="158"/>
      <c r="P1134" s="147"/>
      <c r="Q1134" s="147"/>
      <c r="R1134" s="147"/>
      <c r="S1134" s="147"/>
      <c r="T1134" s="147"/>
      <c r="U1134" s="147"/>
      <c r="V1134" s="147"/>
      <c r="W1134" s="147"/>
      <c r="X1134" s="147"/>
      <c r="Y1134" s="147"/>
      <c r="Z1134" s="147"/>
      <c r="AA1134" s="147"/>
      <c r="AB1134" s="147"/>
      <c r="AC1134" s="147"/>
      <c r="AD1134" s="147"/>
      <c r="AE1134" s="147"/>
      <c r="AF1134" s="147"/>
      <c r="AG1134" s="147"/>
      <c r="AH1134" s="147"/>
      <c r="AI1134" s="147"/>
      <c r="AJ1134" s="147"/>
      <c r="AK1134" s="147"/>
      <c r="AL1134" s="147"/>
      <c r="AM1134" s="147"/>
      <c r="AN1134" s="147"/>
      <c r="AO1134" s="147"/>
      <c r="AP1134" s="147"/>
      <c r="AQ1134" s="147"/>
      <c r="AR1134" s="147"/>
      <c r="AS1134" s="147"/>
      <c r="AT1134" s="147"/>
      <c r="AU1134" s="147"/>
      <c r="AV1134" s="147"/>
      <c r="AW1134" s="147"/>
      <c r="AX1134" s="147"/>
      <c r="AY1134" s="147"/>
      <c r="AZ1134" s="147"/>
      <c r="BA1134" s="147"/>
      <c r="BB1134" s="147"/>
      <c r="BC1134" s="147"/>
      <c r="BD1134" s="147"/>
      <c r="BE1134" s="147"/>
      <c r="BF1134" s="147"/>
      <c r="BG1134" s="147"/>
      <c r="BH1134" s="147"/>
      <c r="BI1134" s="147"/>
      <c r="BJ1134" s="147"/>
      <c r="BK1134" s="147"/>
      <c r="BL1134" s="147"/>
      <c r="BM1134" s="147"/>
      <c r="BN1134" s="147"/>
      <c r="BO1134" s="147"/>
      <c r="BP1134" s="147"/>
      <c r="BQ1134" s="147"/>
      <c r="BR1134" s="147"/>
      <c r="BS1134" s="147"/>
      <c r="BT1134" s="147"/>
      <c r="BU1134" s="147"/>
      <c r="BV1134" s="147"/>
      <c r="BW1134" s="147"/>
      <c r="BX1134" s="147"/>
      <c r="BY1134" s="147"/>
      <c r="BZ1134" s="147"/>
      <c r="CA1134" s="147"/>
      <c r="CB1134" s="147"/>
      <c r="CC1134" s="147"/>
      <c r="CD1134" s="147"/>
      <c r="CE1134" s="147"/>
      <c r="CF1134" s="147"/>
      <c r="CG1134" s="147"/>
      <c r="CH1134" s="147"/>
      <c r="CI1134" s="147"/>
      <c r="CJ1134" s="147"/>
      <c r="CK1134" s="147"/>
    </row>
    <row r="1135" spans="1:89">
      <c r="A1135" s="147"/>
      <c r="B1135" s="147"/>
      <c r="C1135" s="147"/>
      <c r="D1135" s="147"/>
      <c r="E1135" s="147"/>
      <c r="F1135" s="147"/>
      <c r="G1135" s="147"/>
      <c r="H1135" s="147"/>
      <c r="I1135" s="147"/>
      <c r="J1135" s="147"/>
      <c r="K1135" s="147"/>
      <c r="L1135" s="147"/>
      <c r="M1135" s="147"/>
      <c r="N1135" s="147"/>
      <c r="O1135" s="158"/>
      <c r="P1135" s="147"/>
      <c r="Q1135" s="147"/>
      <c r="R1135" s="147"/>
      <c r="S1135" s="147"/>
      <c r="T1135" s="147"/>
      <c r="U1135" s="147"/>
      <c r="V1135" s="147"/>
      <c r="W1135" s="147"/>
      <c r="X1135" s="147"/>
      <c r="Y1135" s="147"/>
      <c r="Z1135" s="147"/>
      <c r="AA1135" s="147"/>
      <c r="AB1135" s="147"/>
      <c r="AC1135" s="147"/>
      <c r="AD1135" s="147"/>
      <c r="AE1135" s="147"/>
      <c r="AF1135" s="147"/>
      <c r="AG1135" s="147"/>
      <c r="AH1135" s="147"/>
      <c r="AI1135" s="147"/>
      <c r="AJ1135" s="147"/>
      <c r="AK1135" s="147"/>
      <c r="AL1135" s="147"/>
      <c r="AM1135" s="147"/>
      <c r="AN1135" s="147"/>
      <c r="AO1135" s="147"/>
      <c r="AP1135" s="147"/>
      <c r="AQ1135" s="147"/>
      <c r="AR1135" s="147"/>
      <c r="AS1135" s="147"/>
      <c r="AT1135" s="147"/>
      <c r="AU1135" s="147"/>
      <c r="AV1135" s="147"/>
      <c r="AW1135" s="147"/>
      <c r="AX1135" s="147"/>
      <c r="AY1135" s="147"/>
      <c r="AZ1135" s="147"/>
      <c r="BA1135" s="147"/>
      <c r="BB1135" s="147"/>
      <c r="BC1135" s="147"/>
      <c r="BD1135" s="147"/>
      <c r="BE1135" s="147"/>
      <c r="BF1135" s="147"/>
      <c r="BG1135" s="147"/>
      <c r="BH1135" s="147"/>
      <c r="BI1135" s="147"/>
      <c r="BJ1135" s="147"/>
      <c r="BK1135" s="147"/>
      <c r="BL1135" s="147"/>
      <c r="BM1135" s="147"/>
      <c r="BN1135" s="147"/>
      <c r="BO1135" s="147"/>
      <c r="BP1135" s="147"/>
      <c r="BQ1135" s="147"/>
      <c r="BR1135" s="147"/>
      <c r="BS1135" s="147"/>
      <c r="BT1135" s="147"/>
      <c r="BU1135" s="147"/>
      <c r="BV1135" s="147"/>
      <c r="BW1135" s="147"/>
      <c r="BX1135" s="147"/>
      <c r="BY1135" s="147"/>
      <c r="BZ1135" s="147"/>
      <c r="CA1135" s="147"/>
      <c r="CB1135" s="147"/>
      <c r="CC1135" s="147"/>
      <c r="CD1135" s="147"/>
      <c r="CE1135" s="147"/>
      <c r="CF1135" s="147"/>
      <c r="CG1135" s="147"/>
      <c r="CH1135" s="147"/>
      <c r="CI1135" s="147"/>
      <c r="CJ1135" s="147"/>
      <c r="CK1135" s="147"/>
    </row>
    <row r="1136" spans="1:89">
      <c r="A1136" s="147"/>
      <c r="B1136" s="147"/>
      <c r="C1136" s="147"/>
      <c r="D1136" s="147"/>
      <c r="E1136" s="147"/>
      <c r="F1136" s="147"/>
      <c r="G1136" s="147"/>
      <c r="H1136" s="147"/>
      <c r="I1136" s="147"/>
      <c r="J1136" s="147"/>
      <c r="K1136" s="147"/>
      <c r="L1136" s="147"/>
      <c r="M1136" s="147"/>
      <c r="N1136" s="147"/>
      <c r="O1136" s="158"/>
      <c r="P1136" s="147"/>
      <c r="Q1136" s="147"/>
      <c r="R1136" s="147"/>
      <c r="S1136" s="147"/>
      <c r="T1136" s="147"/>
      <c r="U1136" s="147"/>
      <c r="V1136" s="147"/>
      <c r="W1136" s="147"/>
      <c r="X1136" s="147"/>
      <c r="Y1136" s="147"/>
      <c r="Z1136" s="147"/>
      <c r="AA1136" s="147"/>
      <c r="AB1136" s="147"/>
      <c r="AC1136" s="147"/>
      <c r="AD1136" s="147"/>
      <c r="AE1136" s="147"/>
      <c r="AF1136" s="147"/>
      <c r="AG1136" s="147"/>
      <c r="AH1136" s="147"/>
      <c r="AI1136" s="147"/>
      <c r="AJ1136" s="147"/>
      <c r="AK1136" s="147"/>
      <c r="AL1136" s="147"/>
      <c r="AM1136" s="147"/>
      <c r="AN1136" s="147"/>
      <c r="AO1136" s="147"/>
      <c r="AP1136" s="147"/>
      <c r="AQ1136" s="147"/>
      <c r="AR1136" s="147"/>
      <c r="AS1136" s="147"/>
      <c r="AT1136" s="147"/>
      <c r="AU1136" s="147"/>
      <c r="AV1136" s="147"/>
      <c r="AW1136" s="147"/>
      <c r="AX1136" s="147"/>
      <c r="AY1136" s="147"/>
      <c r="AZ1136" s="147"/>
      <c r="BA1136" s="147"/>
      <c r="BB1136" s="147"/>
      <c r="BC1136" s="147"/>
      <c r="BD1136" s="147"/>
      <c r="BE1136" s="147"/>
      <c r="BF1136" s="147"/>
      <c r="BG1136" s="147"/>
      <c r="BH1136" s="147"/>
      <c r="BI1136" s="147"/>
      <c r="BJ1136" s="147"/>
      <c r="BK1136" s="147"/>
      <c r="BL1136" s="147"/>
      <c r="BM1136" s="147"/>
      <c r="BN1136" s="147"/>
      <c r="BO1136" s="147"/>
      <c r="BP1136" s="147"/>
      <c r="BQ1136" s="147"/>
      <c r="BR1136" s="147"/>
      <c r="BS1136" s="147"/>
      <c r="BT1136" s="147"/>
      <c r="BU1136" s="147"/>
      <c r="BV1136" s="147"/>
      <c r="BW1136" s="147"/>
      <c r="BX1136" s="147"/>
      <c r="BY1136" s="147"/>
      <c r="BZ1136" s="147"/>
      <c r="CA1136" s="147"/>
      <c r="CB1136" s="147"/>
      <c r="CC1136" s="147"/>
      <c r="CD1136" s="147"/>
      <c r="CE1136" s="147"/>
      <c r="CF1136" s="147"/>
      <c r="CG1136" s="147"/>
      <c r="CH1136" s="147"/>
      <c r="CI1136" s="147"/>
      <c r="CJ1136" s="147"/>
      <c r="CK1136" s="147"/>
    </row>
    <row r="1137" spans="1:89">
      <c r="A1137" s="147"/>
      <c r="B1137" s="147"/>
      <c r="C1137" s="147"/>
      <c r="D1137" s="147"/>
      <c r="E1137" s="147"/>
      <c r="F1137" s="147"/>
      <c r="G1137" s="147"/>
      <c r="H1137" s="147"/>
      <c r="I1137" s="147"/>
      <c r="J1137" s="147"/>
      <c r="K1137" s="147"/>
      <c r="L1137" s="147"/>
      <c r="M1137" s="147"/>
      <c r="N1137" s="147"/>
      <c r="O1137" s="158"/>
      <c r="P1137" s="147"/>
      <c r="Q1137" s="147"/>
      <c r="R1137" s="147"/>
      <c r="S1137" s="147"/>
      <c r="T1137" s="147"/>
      <c r="U1137" s="147"/>
      <c r="V1137" s="147"/>
      <c r="W1137" s="147"/>
      <c r="X1137" s="147"/>
      <c r="Y1137" s="147"/>
      <c r="Z1137" s="147"/>
      <c r="AA1137" s="147"/>
      <c r="AB1137" s="147"/>
      <c r="AC1137" s="147"/>
      <c r="AD1137" s="147"/>
      <c r="AE1137" s="147"/>
      <c r="AF1137" s="147"/>
      <c r="AG1137" s="147"/>
      <c r="AH1137" s="147"/>
      <c r="AI1137" s="147"/>
      <c r="AJ1137" s="147"/>
      <c r="AK1137" s="147"/>
      <c r="AL1137" s="147"/>
      <c r="AM1137" s="147"/>
      <c r="AN1137" s="147"/>
      <c r="AO1137" s="147"/>
      <c r="AP1137" s="147"/>
      <c r="AQ1137" s="147"/>
      <c r="AR1137" s="147"/>
      <c r="AS1137" s="147"/>
      <c r="AT1137" s="147"/>
      <c r="AU1137" s="147"/>
      <c r="AV1137" s="147"/>
      <c r="AW1137" s="147"/>
      <c r="AX1137" s="147"/>
      <c r="AY1137" s="147"/>
      <c r="AZ1137" s="147"/>
      <c r="BA1137" s="147"/>
      <c r="BB1137" s="147"/>
      <c r="BC1137" s="147"/>
      <c r="BD1137" s="147"/>
      <c r="BE1137" s="147"/>
      <c r="BF1137" s="147"/>
      <c r="BG1137" s="147"/>
      <c r="BH1137" s="147"/>
      <c r="BI1137" s="147"/>
      <c r="BJ1137" s="147"/>
      <c r="BK1137" s="147"/>
      <c r="BL1137" s="147"/>
      <c r="BM1137" s="147"/>
      <c r="BN1137" s="147"/>
      <c r="BO1137" s="147"/>
      <c r="BP1137" s="147"/>
      <c r="BQ1137" s="147"/>
      <c r="BR1137" s="147"/>
      <c r="BS1137" s="147"/>
      <c r="BT1137" s="147"/>
      <c r="BU1137" s="147"/>
      <c r="BV1137" s="147"/>
      <c r="BW1137" s="147"/>
      <c r="BX1137" s="147"/>
      <c r="BY1137" s="147"/>
      <c r="BZ1137" s="147"/>
      <c r="CA1137" s="147"/>
      <c r="CB1137" s="147"/>
      <c r="CC1137" s="147"/>
      <c r="CD1137" s="147"/>
      <c r="CE1137" s="147"/>
      <c r="CF1137" s="147"/>
      <c r="CG1137" s="147"/>
      <c r="CH1137" s="147"/>
      <c r="CI1137" s="147"/>
      <c r="CJ1137" s="147"/>
      <c r="CK1137" s="147"/>
    </row>
    <row r="1138" spans="1:89">
      <c r="A1138" s="147"/>
      <c r="B1138" s="147"/>
      <c r="C1138" s="147"/>
      <c r="D1138" s="147"/>
      <c r="E1138" s="147"/>
      <c r="F1138" s="147"/>
      <c r="G1138" s="147"/>
      <c r="H1138" s="147"/>
      <c r="I1138" s="147"/>
      <c r="J1138" s="147"/>
      <c r="K1138" s="147"/>
      <c r="L1138" s="147"/>
      <c r="M1138" s="147"/>
      <c r="N1138" s="147"/>
      <c r="O1138" s="158"/>
      <c r="P1138" s="147"/>
      <c r="Q1138" s="147"/>
      <c r="R1138" s="147"/>
      <c r="S1138" s="147"/>
      <c r="T1138" s="147"/>
      <c r="U1138" s="147"/>
      <c r="V1138" s="147"/>
      <c r="W1138" s="147"/>
      <c r="X1138" s="147"/>
      <c r="Y1138" s="147"/>
      <c r="Z1138" s="147"/>
      <c r="AA1138" s="147"/>
      <c r="AB1138" s="147"/>
      <c r="AC1138" s="147"/>
      <c r="AD1138" s="147"/>
      <c r="AE1138" s="147"/>
      <c r="AF1138" s="147"/>
      <c r="AG1138" s="147"/>
      <c r="AH1138" s="147"/>
      <c r="AI1138" s="147"/>
      <c r="AJ1138" s="147"/>
      <c r="AK1138" s="147"/>
      <c r="AL1138" s="147"/>
      <c r="AM1138" s="147"/>
      <c r="AN1138" s="147"/>
      <c r="AO1138" s="147"/>
      <c r="AP1138" s="147"/>
      <c r="AQ1138" s="147"/>
      <c r="AR1138" s="147"/>
      <c r="AS1138" s="147"/>
      <c r="AT1138" s="147"/>
      <c r="AU1138" s="147"/>
      <c r="AV1138" s="147"/>
      <c r="AW1138" s="147"/>
      <c r="AX1138" s="147"/>
      <c r="AY1138" s="147"/>
      <c r="AZ1138" s="147"/>
      <c r="BA1138" s="147"/>
      <c r="BB1138" s="147"/>
      <c r="BC1138" s="147"/>
      <c r="BD1138" s="147"/>
      <c r="BE1138" s="147"/>
      <c r="BF1138" s="147"/>
      <c r="BG1138" s="147"/>
      <c r="BH1138" s="147"/>
      <c r="BI1138" s="147"/>
      <c r="BJ1138" s="147"/>
      <c r="BK1138" s="147"/>
      <c r="BL1138" s="147"/>
      <c r="BM1138" s="147"/>
      <c r="BN1138" s="147"/>
      <c r="BO1138" s="147"/>
      <c r="BP1138" s="147"/>
      <c r="BQ1138" s="147"/>
      <c r="BR1138" s="147"/>
      <c r="BS1138" s="147"/>
      <c r="BT1138" s="147"/>
      <c r="BU1138" s="147"/>
      <c r="BV1138" s="147"/>
      <c r="BW1138" s="147"/>
      <c r="BX1138" s="147"/>
      <c r="BY1138" s="147"/>
      <c r="BZ1138" s="147"/>
      <c r="CA1138" s="147"/>
      <c r="CB1138" s="147"/>
      <c r="CC1138" s="147"/>
      <c r="CD1138" s="147"/>
      <c r="CE1138" s="147"/>
      <c r="CF1138" s="147"/>
      <c r="CG1138" s="147"/>
      <c r="CH1138" s="147"/>
      <c r="CI1138" s="147"/>
      <c r="CJ1138" s="147"/>
      <c r="CK1138" s="147"/>
    </row>
    <row r="1139" spans="1:89">
      <c r="A1139" s="147"/>
      <c r="B1139" s="147"/>
      <c r="C1139" s="147"/>
      <c r="D1139" s="147"/>
      <c r="E1139" s="147"/>
      <c r="F1139" s="147"/>
      <c r="G1139" s="147"/>
      <c r="H1139" s="147"/>
      <c r="I1139" s="147"/>
      <c r="J1139" s="147"/>
      <c r="K1139" s="147"/>
      <c r="L1139" s="147"/>
      <c r="M1139" s="147"/>
      <c r="N1139" s="147"/>
      <c r="O1139" s="158"/>
      <c r="P1139" s="147"/>
      <c r="Q1139" s="147"/>
      <c r="R1139" s="147"/>
      <c r="S1139" s="147"/>
      <c r="T1139" s="147"/>
      <c r="U1139" s="147"/>
      <c r="V1139" s="147"/>
      <c r="W1139" s="147"/>
      <c r="X1139" s="147"/>
      <c r="Y1139" s="147"/>
      <c r="Z1139" s="147"/>
      <c r="AA1139" s="147"/>
      <c r="AB1139" s="147"/>
      <c r="AC1139" s="147"/>
      <c r="AD1139" s="147"/>
      <c r="AE1139" s="147"/>
      <c r="AF1139" s="147"/>
      <c r="AG1139" s="147"/>
      <c r="AH1139" s="147"/>
      <c r="AI1139" s="147"/>
      <c r="AJ1139" s="147"/>
      <c r="AK1139" s="147"/>
      <c r="AL1139" s="147"/>
      <c r="AM1139" s="147"/>
      <c r="AN1139" s="147"/>
      <c r="AO1139" s="147"/>
      <c r="AP1139" s="147"/>
      <c r="AQ1139" s="147"/>
      <c r="AR1139" s="147"/>
      <c r="AS1139" s="147"/>
      <c r="AT1139" s="147"/>
      <c r="AU1139" s="147"/>
      <c r="AV1139" s="147"/>
      <c r="AW1139" s="147"/>
      <c r="AX1139" s="147"/>
      <c r="AY1139" s="147"/>
      <c r="AZ1139" s="147"/>
      <c r="BA1139" s="147"/>
      <c r="BB1139" s="147"/>
      <c r="BC1139" s="147"/>
      <c r="BD1139" s="147"/>
      <c r="BE1139" s="147"/>
      <c r="BF1139" s="147"/>
      <c r="BG1139" s="147"/>
      <c r="BH1139" s="147"/>
      <c r="BI1139" s="147"/>
      <c r="BJ1139" s="147"/>
      <c r="BK1139" s="147"/>
      <c r="BL1139" s="147"/>
      <c r="BM1139" s="147"/>
      <c r="BN1139" s="147"/>
      <c r="BO1139" s="147"/>
      <c r="BP1139" s="147"/>
      <c r="BQ1139" s="147"/>
      <c r="BR1139" s="147"/>
      <c r="BS1139" s="147"/>
      <c r="BT1139" s="147"/>
      <c r="BU1139" s="147"/>
      <c r="BV1139" s="147"/>
      <c r="BW1139" s="147"/>
      <c r="BX1139" s="147"/>
      <c r="BY1139" s="147"/>
      <c r="BZ1139" s="147"/>
      <c r="CA1139" s="147"/>
      <c r="CB1139" s="147"/>
      <c r="CC1139" s="147"/>
      <c r="CD1139" s="147"/>
      <c r="CE1139" s="147"/>
      <c r="CF1139" s="147"/>
      <c r="CG1139" s="147"/>
      <c r="CH1139" s="147"/>
      <c r="CI1139" s="147"/>
      <c r="CJ1139" s="147"/>
      <c r="CK1139" s="147"/>
    </row>
    <row r="1140" spans="1:89">
      <c r="A1140" s="147"/>
      <c r="B1140" s="147"/>
      <c r="C1140" s="147"/>
      <c r="D1140" s="147"/>
      <c r="E1140" s="147"/>
      <c r="F1140" s="147"/>
      <c r="G1140" s="147"/>
      <c r="H1140" s="147"/>
      <c r="I1140" s="147"/>
      <c r="J1140" s="147"/>
      <c r="K1140" s="147"/>
      <c r="L1140" s="147"/>
      <c r="M1140" s="147"/>
      <c r="N1140" s="147"/>
      <c r="O1140" s="158"/>
      <c r="P1140" s="147"/>
      <c r="Q1140" s="147"/>
      <c r="R1140" s="147"/>
      <c r="S1140" s="147"/>
      <c r="T1140" s="147"/>
      <c r="U1140" s="147"/>
      <c r="V1140" s="147"/>
      <c r="W1140" s="147"/>
      <c r="X1140" s="147"/>
      <c r="Y1140" s="147"/>
      <c r="Z1140" s="147"/>
      <c r="AA1140" s="147"/>
      <c r="AB1140" s="147"/>
      <c r="AC1140" s="147"/>
      <c r="AD1140" s="147"/>
      <c r="AE1140" s="147"/>
      <c r="AF1140" s="147"/>
      <c r="AG1140" s="147"/>
      <c r="AH1140" s="147"/>
      <c r="AI1140" s="147"/>
      <c r="AJ1140" s="147"/>
      <c r="AK1140" s="147"/>
      <c r="AL1140" s="147"/>
      <c r="AM1140" s="147"/>
      <c r="AN1140" s="147"/>
      <c r="AO1140" s="147"/>
      <c r="AP1140" s="147"/>
      <c r="AQ1140" s="147"/>
      <c r="AR1140" s="147"/>
      <c r="AS1140" s="147"/>
      <c r="AT1140" s="147"/>
      <c r="AU1140" s="147"/>
      <c r="AV1140" s="147"/>
      <c r="AW1140" s="147"/>
      <c r="AX1140" s="147"/>
      <c r="AY1140" s="147"/>
      <c r="AZ1140" s="147"/>
      <c r="BA1140" s="147"/>
      <c r="BB1140" s="147"/>
      <c r="BC1140" s="147"/>
      <c r="BD1140" s="147"/>
      <c r="BE1140" s="147"/>
      <c r="BF1140" s="147"/>
      <c r="BG1140" s="147"/>
      <c r="BH1140" s="147"/>
      <c r="BI1140" s="147"/>
      <c r="BJ1140" s="147"/>
      <c r="BK1140" s="147"/>
      <c r="BL1140" s="147"/>
      <c r="BM1140" s="147"/>
      <c r="BN1140" s="147"/>
      <c r="BO1140" s="147"/>
      <c r="BP1140" s="147"/>
      <c r="BQ1140" s="147"/>
      <c r="BR1140" s="147"/>
      <c r="BS1140" s="147"/>
      <c r="BT1140" s="147"/>
      <c r="BU1140" s="147"/>
      <c r="BV1140" s="147"/>
      <c r="BW1140" s="147"/>
      <c r="BX1140" s="147"/>
      <c r="BY1140" s="147"/>
      <c r="BZ1140" s="147"/>
      <c r="CA1140" s="147"/>
      <c r="CB1140" s="147"/>
      <c r="CC1140" s="147"/>
      <c r="CD1140" s="147"/>
      <c r="CE1140" s="147"/>
      <c r="CF1140" s="147"/>
      <c r="CG1140" s="147"/>
      <c r="CH1140" s="147"/>
      <c r="CI1140" s="147"/>
      <c r="CJ1140" s="147"/>
      <c r="CK1140" s="147"/>
    </row>
    <row r="1141" spans="1:89">
      <c r="A1141" s="147"/>
      <c r="B1141" s="147"/>
      <c r="C1141" s="147"/>
      <c r="D1141" s="147"/>
      <c r="E1141" s="147"/>
      <c r="F1141" s="147"/>
      <c r="G1141" s="147"/>
      <c r="H1141" s="147"/>
      <c r="I1141" s="147"/>
      <c r="J1141" s="147"/>
      <c r="K1141" s="147"/>
      <c r="L1141" s="147"/>
      <c r="M1141" s="147"/>
      <c r="N1141" s="147"/>
      <c r="O1141" s="158"/>
      <c r="P1141" s="147"/>
      <c r="Q1141" s="147"/>
      <c r="R1141" s="147"/>
      <c r="S1141" s="147"/>
      <c r="T1141" s="147"/>
      <c r="U1141" s="147"/>
      <c r="V1141" s="147"/>
      <c r="W1141" s="147"/>
      <c r="X1141" s="147"/>
      <c r="Y1141" s="147"/>
      <c r="Z1141" s="147"/>
      <c r="AA1141" s="147"/>
      <c r="AB1141" s="147"/>
      <c r="AC1141" s="147"/>
      <c r="AD1141" s="147"/>
      <c r="AE1141" s="147"/>
      <c r="AF1141" s="147"/>
      <c r="AG1141" s="147"/>
      <c r="AH1141" s="147"/>
      <c r="AI1141" s="147"/>
      <c r="AJ1141" s="147"/>
      <c r="AK1141" s="147"/>
      <c r="AL1141" s="147"/>
      <c r="AM1141" s="147"/>
      <c r="AN1141" s="147"/>
      <c r="AO1141" s="147"/>
      <c r="AP1141" s="147"/>
      <c r="AQ1141" s="147"/>
      <c r="AR1141" s="147"/>
      <c r="AS1141" s="147"/>
      <c r="AT1141" s="147"/>
      <c r="AU1141" s="147"/>
      <c r="AV1141" s="147"/>
      <c r="AW1141" s="147"/>
      <c r="AX1141" s="147"/>
      <c r="AY1141" s="147"/>
      <c r="AZ1141" s="147"/>
      <c r="BA1141" s="147"/>
      <c r="BB1141" s="147"/>
      <c r="BC1141" s="147"/>
      <c r="BD1141" s="147"/>
      <c r="BE1141" s="147"/>
      <c r="BF1141" s="147"/>
      <c r="BG1141" s="147"/>
      <c r="BH1141" s="147"/>
      <c r="BI1141" s="147"/>
      <c r="BJ1141" s="147"/>
      <c r="BK1141" s="147"/>
      <c r="BL1141" s="147"/>
      <c r="BM1141" s="147"/>
      <c r="BN1141" s="147"/>
      <c r="BO1141" s="147"/>
      <c r="BP1141" s="147"/>
      <c r="BQ1141" s="147"/>
      <c r="BR1141" s="147"/>
      <c r="BS1141" s="147"/>
      <c r="BT1141" s="147"/>
      <c r="BU1141" s="147"/>
      <c r="BV1141" s="147"/>
      <c r="BW1141" s="147"/>
      <c r="BX1141" s="147"/>
      <c r="BY1141" s="147"/>
      <c r="BZ1141" s="147"/>
      <c r="CA1141" s="147"/>
      <c r="CB1141" s="147"/>
      <c r="CC1141" s="147"/>
      <c r="CD1141" s="147"/>
      <c r="CE1141" s="147"/>
      <c r="CF1141" s="147"/>
      <c r="CG1141" s="147"/>
      <c r="CH1141" s="147"/>
      <c r="CI1141" s="147"/>
      <c r="CJ1141" s="147"/>
      <c r="CK1141" s="147"/>
    </row>
    <row r="1142" spans="1:89">
      <c r="A1142" s="147"/>
      <c r="B1142" s="147"/>
      <c r="C1142" s="147"/>
      <c r="D1142" s="147"/>
      <c r="E1142" s="147"/>
      <c r="F1142" s="147"/>
      <c r="G1142" s="147"/>
      <c r="H1142" s="147"/>
      <c r="I1142" s="147"/>
      <c r="J1142" s="147"/>
      <c r="K1142" s="147"/>
      <c r="L1142" s="147"/>
      <c r="M1142" s="147"/>
      <c r="N1142" s="147"/>
      <c r="O1142" s="158"/>
      <c r="P1142" s="147"/>
      <c r="Q1142" s="147"/>
      <c r="R1142" s="147"/>
      <c r="S1142" s="147"/>
      <c r="T1142" s="147"/>
      <c r="U1142" s="147"/>
      <c r="V1142" s="147"/>
      <c r="W1142" s="147"/>
      <c r="X1142" s="147"/>
      <c r="Y1142" s="147"/>
      <c r="Z1142" s="147"/>
      <c r="AA1142" s="147"/>
      <c r="AB1142" s="147"/>
      <c r="AC1142" s="147"/>
      <c r="AD1142" s="147"/>
      <c r="AE1142" s="147"/>
      <c r="AF1142" s="147"/>
      <c r="AG1142" s="147"/>
      <c r="AH1142" s="147"/>
      <c r="AI1142" s="147"/>
      <c r="AJ1142" s="147"/>
      <c r="AK1142" s="147"/>
      <c r="AL1142" s="147"/>
      <c r="AM1142" s="147"/>
      <c r="AN1142" s="147"/>
      <c r="AO1142" s="147"/>
      <c r="AP1142" s="147"/>
      <c r="AQ1142" s="147"/>
      <c r="AR1142" s="147"/>
      <c r="AS1142" s="147"/>
      <c r="AT1142" s="147"/>
      <c r="AU1142" s="147"/>
      <c r="AV1142" s="147"/>
      <c r="AW1142" s="147"/>
      <c r="AX1142" s="147"/>
      <c r="AY1142" s="147"/>
      <c r="AZ1142" s="147"/>
      <c r="BA1142" s="147"/>
      <c r="BB1142" s="147"/>
      <c r="BC1142" s="147"/>
      <c r="BD1142" s="147"/>
      <c r="BE1142" s="147"/>
      <c r="BF1142" s="147"/>
      <c r="BG1142" s="147"/>
      <c r="BH1142" s="147"/>
      <c r="BI1142" s="147"/>
      <c r="BJ1142" s="147"/>
      <c r="BK1142" s="147"/>
      <c r="BL1142" s="147"/>
      <c r="BM1142" s="147"/>
      <c r="BN1142" s="147"/>
      <c r="BO1142" s="147"/>
      <c r="BP1142" s="147"/>
      <c r="BQ1142" s="147"/>
      <c r="BR1142" s="147"/>
      <c r="BS1142" s="147"/>
      <c r="BT1142" s="147"/>
      <c r="BU1142" s="147"/>
      <c r="BV1142" s="147"/>
      <c r="BW1142" s="147"/>
      <c r="BX1142" s="147"/>
      <c r="BY1142" s="147"/>
      <c r="BZ1142" s="147"/>
      <c r="CA1142" s="147"/>
      <c r="CB1142" s="147"/>
      <c r="CC1142" s="147"/>
      <c r="CD1142" s="147"/>
      <c r="CE1142" s="147"/>
      <c r="CF1142" s="147"/>
      <c r="CG1142" s="147"/>
      <c r="CH1142" s="147"/>
      <c r="CI1142" s="147"/>
      <c r="CJ1142" s="147"/>
      <c r="CK1142" s="147"/>
    </row>
    <row r="1143" spans="1:89">
      <c r="A1143" s="147"/>
      <c r="B1143" s="147"/>
      <c r="C1143" s="147"/>
      <c r="D1143" s="147"/>
      <c r="E1143" s="147"/>
      <c r="F1143" s="147"/>
      <c r="G1143" s="147"/>
      <c r="H1143" s="147"/>
      <c r="I1143" s="147"/>
      <c r="J1143" s="147"/>
      <c r="K1143" s="147"/>
      <c r="L1143" s="147"/>
      <c r="M1143" s="147"/>
      <c r="N1143" s="147"/>
      <c r="O1143" s="158"/>
      <c r="P1143" s="147"/>
      <c r="Q1143" s="147"/>
      <c r="R1143" s="147"/>
      <c r="S1143" s="147"/>
      <c r="T1143" s="147"/>
      <c r="U1143" s="147"/>
      <c r="V1143" s="147"/>
      <c r="W1143" s="147"/>
      <c r="X1143" s="147"/>
      <c r="Y1143" s="147"/>
      <c r="Z1143" s="147"/>
      <c r="AA1143" s="147"/>
      <c r="AB1143" s="147"/>
      <c r="AC1143" s="147"/>
      <c r="AD1143" s="147"/>
      <c r="AE1143" s="147"/>
      <c r="AF1143" s="147"/>
      <c r="AG1143" s="147"/>
      <c r="AH1143" s="147"/>
      <c r="AI1143" s="147"/>
      <c r="AJ1143" s="147"/>
      <c r="AK1143" s="147"/>
      <c r="AL1143" s="147"/>
      <c r="AM1143" s="147"/>
      <c r="AN1143" s="147"/>
      <c r="AO1143" s="147"/>
      <c r="AP1143" s="147"/>
      <c r="AQ1143" s="147"/>
      <c r="AR1143" s="147"/>
      <c r="AS1143" s="147"/>
      <c r="AT1143" s="147"/>
      <c r="AU1143" s="147"/>
      <c r="AV1143" s="147"/>
      <c r="AW1143" s="147"/>
      <c r="AX1143" s="147"/>
      <c r="AY1143" s="147"/>
      <c r="AZ1143" s="147"/>
      <c r="BA1143" s="147"/>
      <c r="BB1143" s="147"/>
      <c r="BC1143" s="147"/>
      <c r="BD1143" s="147"/>
      <c r="BE1143" s="147"/>
      <c r="BF1143" s="147"/>
      <c r="BG1143" s="147"/>
      <c r="BH1143" s="147"/>
      <c r="BI1143" s="147"/>
      <c r="BJ1143" s="147"/>
      <c r="BK1143" s="147"/>
      <c r="BL1143" s="147"/>
      <c r="BM1143" s="147"/>
      <c r="BN1143" s="147"/>
      <c r="BO1143" s="147"/>
      <c r="BP1143" s="147"/>
      <c r="BQ1143" s="147"/>
      <c r="BR1143" s="147"/>
      <c r="BS1143" s="147"/>
      <c r="BT1143" s="147"/>
      <c r="BU1143" s="147"/>
      <c r="BV1143" s="147"/>
      <c r="BW1143" s="147"/>
      <c r="BX1143" s="147"/>
      <c r="BY1143" s="147"/>
      <c r="BZ1143" s="147"/>
      <c r="CA1143" s="147"/>
      <c r="CB1143" s="147"/>
      <c r="CC1143" s="147"/>
      <c r="CD1143" s="147"/>
      <c r="CE1143" s="147"/>
      <c r="CF1143" s="147"/>
      <c r="CG1143" s="147"/>
      <c r="CH1143" s="147"/>
      <c r="CI1143" s="147"/>
      <c r="CJ1143" s="147"/>
      <c r="CK1143" s="147"/>
    </row>
    <row r="1144" spans="1:89">
      <c r="A1144" s="147"/>
      <c r="B1144" s="147"/>
      <c r="C1144" s="147"/>
      <c r="D1144" s="147"/>
      <c r="E1144" s="147"/>
      <c r="F1144" s="147"/>
      <c r="G1144" s="147"/>
      <c r="H1144" s="147"/>
      <c r="I1144" s="147"/>
      <c r="J1144" s="147"/>
      <c r="K1144" s="147"/>
      <c r="L1144" s="147"/>
      <c r="M1144" s="147"/>
      <c r="N1144" s="147"/>
      <c r="O1144" s="158"/>
      <c r="P1144" s="147"/>
      <c r="Q1144" s="147"/>
      <c r="R1144" s="147"/>
      <c r="S1144" s="147"/>
      <c r="T1144" s="147"/>
      <c r="U1144" s="147"/>
      <c r="V1144" s="147"/>
      <c r="W1144" s="147"/>
      <c r="X1144" s="147"/>
      <c r="Y1144" s="147"/>
      <c r="Z1144" s="147"/>
      <c r="AA1144" s="147"/>
      <c r="AB1144" s="147"/>
      <c r="AC1144" s="147"/>
      <c r="AD1144" s="147"/>
      <c r="AE1144" s="147"/>
      <c r="AF1144" s="147"/>
      <c r="AG1144" s="147"/>
      <c r="AH1144" s="147"/>
      <c r="AI1144" s="147"/>
      <c r="AJ1144" s="147"/>
      <c r="AK1144" s="147"/>
      <c r="AL1144" s="147"/>
      <c r="AM1144" s="147"/>
      <c r="AN1144" s="147"/>
      <c r="AO1144" s="147"/>
      <c r="AP1144" s="147"/>
      <c r="AQ1144" s="147"/>
      <c r="AR1144" s="147"/>
      <c r="AS1144" s="147"/>
      <c r="AT1144" s="147"/>
      <c r="AU1144" s="147"/>
      <c r="AV1144" s="147"/>
      <c r="AW1144" s="147"/>
      <c r="AX1144" s="147"/>
      <c r="AY1144" s="147"/>
      <c r="AZ1144" s="147"/>
      <c r="BA1144" s="147"/>
      <c r="BB1144" s="147"/>
      <c r="BC1144" s="147"/>
      <c r="BD1144" s="147"/>
      <c r="BE1144" s="147"/>
      <c r="BF1144" s="147"/>
      <c r="BG1144" s="147"/>
      <c r="BH1144" s="147"/>
      <c r="BI1144" s="147"/>
      <c r="BJ1144" s="147"/>
      <c r="BK1144" s="147"/>
      <c r="BL1144" s="147"/>
      <c r="BM1144" s="147"/>
      <c r="BN1144" s="147"/>
      <c r="BO1144" s="147"/>
      <c r="BP1144" s="147"/>
      <c r="BQ1144" s="147"/>
      <c r="BR1144" s="147"/>
      <c r="BS1144" s="147"/>
      <c r="BT1144" s="147"/>
      <c r="BU1144" s="147"/>
      <c r="BV1144" s="147"/>
      <c r="BW1144" s="147"/>
      <c r="BX1144" s="147"/>
      <c r="BY1144" s="147"/>
      <c r="BZ1144" s="147"/>
      <c r="CA1144" s="147"/>
      <c r="CB1144" s="147"/>
      <c r="CC1144" s="147"/>
      <c r="CD1144" s="147"/>
      <c r="CE1144" s="147"/>
      <c r="CF1144" s="147"/>
      <c r="CG1144" s="147"/>
      <c r="CH1144" s="147"/>
      <c r="CI1144" s="147"/>
      <c r="CJ1144" s="147"/>
      <c r="CK1144" s="147"/>
    </row>
    <row r="1145" spans="1:89">
      <c r="A1145" s="147"/>
      <c r="B1145" s="147"/>
      <c r="C1145" s="147"/>
      <c r="D1145" s="147"/>
      <c r="E1145" s="147"/>
      <c r="F1145" s="147"/>
      <c r="G1145" s="147"/>
      <c r="H1145" s="147"/>
      <c r="I1145" s="147"/>
      <c r="J1145" s="147"/>
      <c r="K1145" s="147"/>
      <c r="L1145" s="147"/>
      <c r="M1145" s="147"/>
      <c r="N1145" s="147"/>
      <c r="O1145" s="158"/>
      <c r="P1145" s="147"/>
      <c r="Q1145" s="147"/>
      <c r="R1145" s="147"/>
      <c r="S1145" s="147"/>
      <c r="T1145" s="147"/>
      <c r="U1145" s="147"/>
      <c r="V1145" s="147"/>
      <c r="W1145" s="147"/>
      <c r="X1145" s="147"/>
      <c r="Y1145" s="147"/>
      <c r="Z1145" s="147"/>
      <c r="AA1145" s="147"/>
      <c r="AB1145" s="147"/>
      <c r="AC1145" s="147"/>
      <c r="AD1145" s="147"/>
      <c r="AE1145" s="147"/>
      <c r="AF1145" s="147"/>
      <c r="AG1145" s="147"/>
      <c r="AH1145" s="147"/>
      <c r="AI1145" s="147"/>
      <c r="AJ1145" s="147"/>
      <c r="AK1145" s="147"/>
      <c r="AL1145" s="147"/>
      <c r="AM1145" s="147"/>
      <c r="AN1145" s="147"/>
      <c r="AO1145" s="147"/>
      <c r="AP1145" s="147"/>
      <c r="AQ1145" s="147"/>
      <c r="AR1145" s="147"/>
      <c r="AS1145" s="147"/>
      <c r="AT1145" s="147"/>
      <c r="AU1145" s="147"/>
      <c r="AV1145" s="147"/>
      <c r="AW1145" s="147"/>
      <c r="AX1145" s="147"/>
      <c r="AY1145" s="147"/>
      <c r="AZ1145" s="147"/>
      <c r="BA1145" s="147"/>
      <c r="BB1145" s="147"/>
      <c r="BC1145" s="147"/>
      <c r="BD1145" s="147"/>
      <c r="BE1145" s="147"/>
      <c r="BF1145" s="147"/>
      <c r="BG1145" s="147"/>
      <c r="BH1145" s="147"/>
      <c r="BI1145" s="147"/>
      <c r="BJ1145" s="147"/>
      <c r="BK1145" s="147"/>
      <c r="BL1145" s="147"/>
      <c r="BM1145" s="147"/>
      <c r="BN1145" s="147"/>
      <c r="BO1145" s="147"/>
      <c r="BP1145" s="147"/>
      <c r="BQ1145" s="147"/>
      <c r="BR1145" s="147"/>
      <c r="BS1145" s="147"/>
      <c r="BT1145" s="147"/>
      <c r="BU1145" s="147"/>
      <c r="BV1145" s="147"/>
      <c r="BW1145" s="147"/>
      <c r="BX1145" s="147"/>
      <c r="BY1145" s="147"/>
      <c r="BZ1145" s="147"/>
      <c r="CA1145" s="147"/>
      <c r="CB1145" s="147"/>
      <c r="CC1145" s="147"/>
      <c r="CD1145" s="147"/>
      <c r="CE1145" s="147"/>
      <c r="CF1145" s="147"/>
      <c r="CG1145" s="147"/>
      <c r="CH1145" s="147"/>
      <c r="CI1145" s="147"/>
      <c r="CJ1145" s="147"/>
      <c r="CK1145" s="147"/>
    </row>
    <row r="1146" spans="1:89">
      <c r="A1146" s="147"/>
      <c r="B1146" s="147"/>
      <c r="C1146" s="147"/>
      <c r="D1146" s="147"/>
      <c r="E1146" s="147"/>
      <c r="F1146" s="147"/>
      <c r="G1146" s="147"/>
      <c r="H1146" s="147"/>
      <c r="I1146" s="147"/>
      <c r="J1146" s="147"/>
      <c r="K1146" s="147"/>
      <c r="L1146" s="147"/>
      <c r="M1146" s="147"/>
      <c r="N1146" s="147"/>
      <c r="O1146" s="158"/>
      <c r="P1146" s="147"/>
      <c r="Q1146" s="147"/>
      <c r="R1146" s="147"/>
      <c r="S1146" s="147"/>
      <c r="T1146" s="147"/>
      <c r="U1146" s="147"/>
      <c r="V1146" s="147"/>
      <c r="W1146" s="147"/>
      <c r="X1146" s="147"/>
      <c r="Y1146" s="147"/>
      <c r="Z1146" s="147"/>
      <c r="AA1146" s="147"/>
      <c r="AB1146" s="147"/>
      <c r="AC1146" s="147"/>
      <c r="AD1146" s="147"/>
      <c r="AE1146" s="147"/>
      <c r="AF1146" s="147"/>
      <c r="AG1146" s="147"/>
      <c r="AH1146" s="147"/>
      <c r="AI1146" s="147"/>
      <c r="AJ1146" s="147"/>
      <c r="AK1146" s="147"/>
      <c r="AL1146" s="147"/>
      <c r="AM1146" s="147"/>
      <c r="AN1146" s="147"/>
      <c r="AO1146" s="147"/>
      <c r="AP1146" s="147"/>
      <c r="AQ1146" s="147"/>
      <c r="AR1146" s="147"/>
      <c r="AS1146" s="147"/>
      <c r="AT1146" s="147"/>
      <c r="AU1146" s="147"/>
      <c r="AV1146" s="147"/>
      <c r="AW1146" s="147"/>
      <c r="AX1146" s="147"/>
      <c r="AY1146" s="147"/>
      <c r="AZ1146" s="147"/>
      <c r="BA1146" s="147"/>
      <c r="BB1146" s="147"/>
      <c r="BC1146" s="147"/>
      <c r="BD1146" s="147"/>
      <c r="BE1146" s="147"/>
      <c r="BF1146" s="147"/>
      <c r="BG1146" s="147"/>
      <c r="BH1146" s="147"/>
      <c r="BI1146" s="147"/>
      <c r="BJ1146" s="147"/>
      <c r="BK1146" s="147"/>
      <c r="BL1146" s="147"/>
      <c r="BM1146" s="147"/>
      <c r="BN1146" s="147"/>
      <c r="BO1146" s="147"/>
      <c r="BP1146" s="147"/>
      <c r="BQ1146" s="147"/>
      <c r="BR1146" s="147"/>
      <c r="BS1146" s="147"/>
      <c r="BT1146" s="147"/>
      <c r="BU1146" s="147"/>
      <c r="BV1146" s="147"/>
      <c r="BW1146" s="147"/>
      <c r="BX1146" s="147"/>
      <c r="BY1146" s="147"/>
      <c r="BZ1146" s="147"/>
      <c r="CA1146" s="147"/>
      <c r="CB1146" s="147"/>
      <c r="CC1146" s="147"/>
      <c r="CD1146" s="147"/>
      <c r="CE1146" s="147"/>
      <c r="CF1146" s="147"/>
      <c r="CG1146" s="147"/>
      <c r="CH1146" s="147"/>
      <c r="CI1146" s="147"/>
      <c r="CJ1146" s="147"/>
      <c r="CK1146" s="147"/>
    </row>
    <row r="1147" spans="1:89">
      <c r="A1147" s="147"/>
      <c r="B1147" s="147"/>
      <c r="C1147" s="147"/>
      <c r="D1147" s="147"/>
      <c r="E1147" s="147"/>
      <c r="F1147" s="147"/>
      <c r="G1147" s="147"/>
      <c r="H1147" s="147"/>
      <c r="I1147" s="147"/>
      <c r="J1147" s="147"/>
      <c r="K1147" s="147"/>
      <c r="L1147" s="147"/>
      <c r="M1147" s="147"/>
      <c r="N1147" s="147"/>
      <c r="O1147" s="158"/>
      <c r="P1147" s="147"/>
      <c r="Q1147" s="147"/>
      <c r="R1147" s="147"/>
      <c r="S1147" s="147"/>
      <c r="T1147" s="147"/>
      <c r="U1147" s="147"/>
      <c r="V1147" s="147"/>
      <c r="W1147" s="147"/>
      <c r="X1147" s="147"/>
      <c r="Y1147" s="147"/>
      <c r="Z1147" s="147"/>
      <c r="AA1147" s="147"/>
      <c r="AB1147" s="147"/>
      <c r="AC1147" s="147"/>
      <c r="AD1147" s="147"/>
      <c r="AE1147" s="147"/>
      <c r="AF1147" s="147"/>
      <c r="AG1147" s="147"/>
      <c r="AH1147" s="147"/>
      <c r="AI1147" s="147"/>
      <c r="AJ1147" s="147"/>
      <c r="AK1147" s="147"/>
      <c r="AL1147" s="147"/>
      <c r="AM1147" s="147"/>
      <c r="AN1147" s="147"/>
      <c r="AO1147" s="147"/>
      <c r="AP1147" s="147"/>
      <c r="AQ1147" s="147"/>
      <c r="AR1147" s="147"/>
      <c r="AS1147" s="147"/>
      <c r="AT1147" s="147"/>
      <c r="AU1147" s="147"/>
      <c r="AV1147" s="147"/>
      <c r="AW1147" s="147"/>
      <c r="AX1147" s="147"/>
      <c r="AY1147" s="147"/>
      <c r="AZ1147" s="147"/>
      <c r="BA1147" s="147"/>
      <c r="BB1147" s="147"/>
      <c r="BC1147" s="147"/>
      <c r="BD1147" s="147"/>
      <c r="BE1147" s="147"/>
      <c r="BF1147" s="147"/>
      <c r="BG1147" s="147"/>
      <c r="BH1147" s="147"/>
      <c r="BI1147" s="147"/>
      <c r="BJ1147" s="147"/>
      <c r="BK1147" s="147"/>
      <c r="BL1147" s="147"/>
      <c r="BM1147" s="147"/>
      <c r="BN1147" s="147"/>
      <c r="BO1147" s="147"/>
      <c r="BP1147" s="147"/>
      <c r="BQ1147" s="147"/>
      <c r="BR1147" s="147"/>
      <c r="BS1147" s="147"/>
      <c r="BT1147" s="147"/>
      <c r="BU1147" s="147"/>
      <c r="BV1147" s="147"/>
      <c r="BW1147" s="147"/>
      <c r="BX1147" s="147"/>
      <c r="BY1147" s="147"/>
      <c r="BZ1147" s="147"/>
      <c r="CA1147" s="147"/>
      <c r="CB1147" s="147"/>
      <c r="CC1147" s="147"/>
      <c r="CD1147" s="147"/>
      <c r="CE1147" s="147"/>
      <c r="CF1147" s="147"/>
      <c r="CG1147" s="147"/>
      <c r="CH1147" s="147"/>
      <c r="CI1147" s="147"/>
      <c r="CJ1147" s="147"/>
      <c r="CK1147" s="147"/>
    </row>
    <row r="1148" spans="1:89">
      <c r="A1148" s="147"/>
      <c r="B1148" s="147"/>
      <c r="C1148" s="147"/>
      <c r="D1148" s="147"/>
      <c r="E1148" s="147"/>
      <c r="F1148" s="147"/>
      <c r="G1148" s="147"/>
      <c r="H1148" s="147"/>
      <c r="I1148" s="147"/>
      <c r="J1148" s="147"/>
      <c r="K1148" s="147"/>
      <c r="L1148" s="147"/>
      <c r="M1148" s="147"/>
      <c r="N1148" s="147"/>
      <c r="O1148" s="158"/>
      <c r="P1148" s="147"/>
      <c r="Q1148" s="147"/>
      <c r="R1148" s="147"/>
      <c r="S1148" s="147"/>
      <c r="T1148" s="147"/>
      <c r="U1148" s="147"/>
      <c r="V1148" s="147"/>
      <c r="W1148" s="147"/>
      <c r="X1148" s="147"/>
      <c r="Y1148" s="147"/>
      <c r="Z1148" s="147"/>
      <c r="AA1148" s="147"/>
      <c r="AB1148" s="147"/>
      <c r="AC1148" s="147"/>
      <c r="AD1148" s="147"/>
      <c r="AE1148" s="147"/>
      <c r="AF1148" s="147"/>
      <c r="AG1148" s="147"/>
      <c r="AH1148" s="147"/>
      <c r="AI1148" s="147"/>
      <c r="AJ1148" s="147"/>
      <c r="AK1148" s="147"/>
      <c r="AL1148" s="147"/>
      <c r="AM1148" s="147"/>
      <c r="AN1148" s="147"/>
      <c r="AO1148" s="147"/>
      <c r="AP1148" s="147"/>
      <c r="AQ1148" s="147"/>
      <c r="AR1148" s="147"/>
      <c r="AS1148" s="147"/>
      <c r="AT1148" s="147"/>
      <c r="AU1148" s="147"/>
      <c r="AV1148" s="147"/>
      <c r="AW1148" s="147"/>
      <c r="AX1148" s="147"/>
      <c r="AY1148" s="147"/>
      <c r="AZ1148" s="147"/>
      <c r="BA1148" s="147"/>
      <c r="BB1148" s="147"/>
      <c r="BC1148" s="147"/>
      <c r="BD1148" s="147"/>
      <c r="BE1148" s="147"/>
      <c r="BF1148" s="147"/>
      <c r="BG1148" s="147"/>
      <c r="BH1148" s="147"/>
      <c r="BI1148" s="147"/>
      <c r="BJ1148" s="147"/>
      <c r="BK1148" s="147"/>
      <c r="BL1148" s="147"/>
      <c r="BM1148" s="147"/>
      <c r="BN1148" s="147"/>
      <c r="BO1148" s="147"/>
      <c r="BP1148" s="147"/>
      <c r="BQ1148" s="147"/>
      <c r="BR1148" s="147"/>
      <c r="BS1148" s="147"/>
      <c r="BT1148" s="147"/>
      <c r="BU1148" s="147"/>
      <c r="BV1148" s="147"/>
      <c r="BW1148" s="147"/>
      <c r="BX1148" s="147"/>
      <c r="BY1148" s="147"/>
      <c r="BZ1148" s="147"/>
      <c r="CA1148" s="147"/>
      <c r="CB1148" s="147"/>
      <c r="CC1148" s="147"/>
      <c r="CD1148" s="147"/>
      <c r="CE1148" s="147"/>
      <c r="CF1148" s="147"/>
      <c r="CG1148" s="147"/>
      <c r="CH1148" s="147"/>
      <c r="CI1148" s="147"/>
      <c r="CJ1148" s="147"/>
      <c r="CK1148" s="147"/>
    </row>
    <row r="1149" spans="1:89">
      <c r="A1149" s="147"/>
      <c r="B1149" s="147"/>
      <c r="C1149" s="147"/>
      <c r="D1149" s="147"/>
      <c r="E1149" s="147"/>
      <c r="F1149" s="147"/>
      <c r="G1149" s="147"/>
      <c r="H1149" s="147"/>
      <c r="I1149" s="147"/>
      <c r="J1149" s="147"/>
      <c r="K1149" s="147"/>
      <c r="L1149" s="147"/>
      <c r="M1149" s="147"/>
      <c r="N1149" s="147"/>
      <c r="O1149" s="158"/>
      <c r="P1149" s="147"/>
      <c r="Q1149" s="147"/>
      <c r="R1149" s="147"/>
      <c r="S1149" s="147"/>
      <c r="T1149" s="147"/>
      <c r="U1149" s="147"/>
      <c r="V1149" s="147"/>
      <c r="W1149" s="147"/>
      <c r="X1149" s="147"/>
      <c r="Y1149" s="147"/>
      <c r="Z1149" s="147"/>
      <c r="AA1149" s="147"/>
      <c r="AB1149" s="147"/>
      <c r="AC1149" s="147"/>
      <c r="AD1149" s="147"/>
      <c r="AE1149" s="147"/>
      <c r="AF1149" s="147"/>
      <c r="AG1149" s="147"/>
      <c r="AH1149" s="147"/>
      <c r="AI1149" s="147"/>
      <c r="AJ1149" s="147"/>
      <c r="AK1149" s="147"/>
      <c r="AL1149" s="147"/>
      <c r="AM1149" s="147"/>
      <c r="AN1149" s="147"/>
      <c r="AO1149" s="147"/>
      <c r="AP1149" s="147"/>
      <c r="AQ1149" s="147"/>
      <c r="AR1149" s="147"/>
      <c r="AS1149" s="147"/>
      <c r="AT1149" s="147"/>
      <c r="AU1149" s="147"/>
      <c r="AV1149" s="147"/>
      <c r="AW1149" s="147"/>
      <c r="AX1149" s="147"/>
      <c r="AY1149" s="147"/>
      <c r="AZ1149" s="147"/>
      <c r="BA1149" s="147"/>
      <c r="BB1149" s="147"/>
      <c r="BC1149" s="147"/>
      <c r="BD1149" s="147"/>
      <c r="BE1149" s="147"/>
      <c r="BF1149" s="147"/>
      <c r="BG1149" s="147"/>
      <c r="BH1149" s="147"/>
      <c r="BI1149" s="147"/>
      <c r="BJ1149" s="147"/>
      <c r="BK1149" s="147"/>
      <c r="BL1149" s="147"/>
      <c r="BM1149" s="147"/>
      <c r="BN1149" s="147"/>
      <c r="BO1149" s="147"/>
      <c r="BP1149" s="147"/>
      <c r="BQ1149" s="147"/>
      <c r="BR1149" s="147"/>
      <c r="BS1149" s="147"/>
      <c r="BT1149" s="147"/>
      <c r="BU1149" s="147"/>
      <c r="BV1149" s="147"/>
      <c r="BW1149" s="147"/>
      <c r="BX1149" s="147"/>
      <c r="BY1149" s="147"/>
      <c r="BZ1149" s="147"/>
      <c r="CA1149" s="147"/>
      <c r="CB1149" s="147"/>
      <c r="CC1149" s="147"/>
      <c r="CD1149" s="147"/>
      <c r="CE1149" s="147"/>
      <c r="CF1149" s="147"/>
      <c r="CG1149" s="147"/>
      <c r="CH1149" s="147"/>
      <c r="CI1149" s="147"/>
      <c r="CJ1149" s="147"/>
      <c r="CK1149" s="147"/>
    </row>
    <row r="1150" spans="1:89">
      <c r="A1150" s="147"/>
      <c r="B1150" s="147"/>
      <c r="C1150" s="147"/>
      <c r="D1150" s="147"/>
      <c r="E1150" s="147"/>
      <c r="F1150" s="147"/>
      <c r="G1150" s="147"/>
      <c r="H1150" s="147"/>
      <c r="I1150" s="147"/>
      <c r="J1150" s="147"/>
      <c r="K1150" s="147"/>
      <c r="L1150" s="147"/>
      <c r="M1150" s="147"/>
      <c r="N1150" s="147"/>
      <c r="O1150" s="158"/>
      <c r="P1150" s="147"/>
      <c r="Q1150" s="147"/>
      <c r="R1150" s="147"/>
      <c r="S1150" s="147"/>
      <c r="T1150" s="147"/>
      <c r="U1150" s="147"/>
      <c r="V1150" s="147"/>
      <c r="W1150" s="147"/>
      <c r="X1150" s="147"/>
      <c r="Y1150" s="147"/>
      <c r="Z1150" s="147"/>
      <c r="AA1150" s="147"/>
      <c r="AB1150" s="147"/>
      <c r="AC1150" s="147"/>
      <c r="AD1150" s="147"/>
      <c r="AE1150" s="147"/>
      <c r="AF1150" s="147"/>
      <c r="AG1150" s="147"/>
      <c r="AH1150" s="147"/>
      <c r="AI1150" s="147"/>
      <c r="AJ1150" s="147"/>
      <c r="AK1150" s="147"/>
      <c r="AL1150" s="147"/>
      <c r="AM1150" s="147"/>
      <c r="AN1150" s="147"/>
      <c r="AO1150" s="147"/>
      <c r="AP1150" s="147"/>
      <c r="AQ1150" s="147"/>
      <c r="AR1150" s="147"/>
      <c r="AS1150" s="147"/>
      <c r="AT1150" s="147"/>
      <c r="AU1150" s="147"/>
      <c r="AV1150" s="147"/>
      <c r="AW1150" s="147"/>
      <c r="AX1150" s="147"/>
      <c r="AY1150" s="147"/>
      <c r="AZ1150" s="147"/>
      <c r="BA1150" s="147"/>
      <c r="BB1150" s="147"/>
      <c r="BC1150" s="147"/>
      <c r="BD1150" s="147"/>
      <c r="BE1150" s="147"/>
      <c r="BF1150" s="147"/>
      <c r="BG1150" s="147"/>
      <c r="BH1150" s="147"/>
      <c r="BI1150" s="147"/>
      <c r="BJ1150" s="147"/>
      <c r="BK1150" s="147"/>
      <c r="BL1150" s="147"/>
      <c r="BM1150" s="147"/>
      <c r="BN1150" s="147"/>
      <c r="BO1150" s="147"/>
      <c r="BP1150" s="147"/>
      <c r="BQ1150" s="147"/>
      <c r="BR1150" s="147"/>
      <c r="BS1150" s="147"/>
      <c r="BT1150" s="147"/>
      <c r="BU1150" s="147"/>
      <c r="BV1150" s="147"/>
      <c r="BW1150" s="147"/>
      <c r="BX1150" s="147"/>
      <c r="BY1150" s="147"/>
      <c r="BZ1150" s="147"/>
      <c r="CA1150" s="147"/>
      <c r="CB1150" s="147"/>
      <c r="CC1150" s="147"/>
      <c r="CD1150" s="147"/>
      <c r="CE1150" s="147"/>
      <c r="CF1150" s="147"/>
      <c r="CG1150" s="147"/>
      <c r="CH1150" s="147"/>
      <c r="CI1150" s="147"/>
      <c r="CJ1150" s="147"/>
      <c r="CK1150" s="147"/>
    </row>
    <row r="1151" spans="1:89">
      <c r="A1151" s="147"/>
      <c r="B1151" s="147"/>
      <c r="C1151" s="147"/>
      <c r="D1151" s="147"/>
      <c r="E1151" s="147"/>
      <c r="F1151" s="147"/>
      <c r="G1151" s="147"/>
      <c r="H1151" s="147"/>
      <c r="I1151" s="147"/>
      <c r="J1151" s="147"/>
      <c r="K1151" s="147"/>
      <c r="L1151" s="147"/>
      <c r="M1151" s="147"/>
      <c r="N1151" s="147"/>
      <c r="O1151" s="158"/>
      <c r="P1151" s="147"/>
      <c r="Q1151" s="147"/>
      <c r="R1151" s="147"/>
      <c r="S1151" s="147"/>
      <c r="T1151" s="147"/>
      <c r="U1151" s="147"/>
      <c r="V1151" s="147"/>
      <c r="W1151" s="147"/>
      <c r="X1151" s="147"/>
      <c r="Y1151" s="147"/>
      <c r="Z1151" s="147"/>
      <c r="AA1151" s="147"/>
      <c r="AB1151" s="147"/>
      <c r="AC1151" s="147"/>
      <c r="AD1151" s="147"/>
      <c r="AE1151" s="147"/>
      <c r="AF1151" s="147"/>
      <c r="AG1151" s="147"/>
      <c r="AH1151" s="147"/>
      <c r="AI1151" s="147"/>
      <c r="AJ1151" s="147"/>
      <c r="AK1151" s="147"/>
      <c r="AL1151" s="147"/>
      <c r="AM1151" s="147"/>
      <c r="AN1151" s="147"/>
      <c r="AO1151" s="147"/>
      <c r="AP1151" s="147"/>
      <c r="AQ1151" s="147"/>
      <c r="AR1151" s="147"/>
      <c r="AS1151" s="147"/>
      <c r="AT1151" s="147"/>
      <c r="AU1151" s="147"/>
      <c r="AV1151" s="147"/>
      <c r="AW1151" s="147"/>
      <c r="AX1151" s="147"/>
      <c r="AY1151" s="147"/>
      <c r="AZ1151" s="147"/>
      <c r="BA1151" s="147"/>
      <c r="BB1151" s="147"/>
      <c r="BC1151" s="147"/>
      <c r="BD1151" s="147"/>
      <c r="BE1151" s="147"/>
      <c r="BF1151" s="147"/>
      <c r="BG1151" s="147"/>
      <c r="BH1151" s="147"/>
      <c r="BI1151" s="147"/>
      <c r="BJ1151" s="147"/>
      <c r="BK1151" s="147"/>
      <c r="BL1151" s="147"/>
      <c r="BM1151" s="147"/>
      <c r="BN1151" s="147"/>
      <c r="BO1151" s="147"/>
      <c r="BP1151" s="147"/>
      <c r="BQ1151" s="147"/>
      <c r="BR1151" s="147"/>
      <c r="BS1151" s="147"/>
      <c r="BT1151" s="147"/>
      <c r="BU1151" s="147"/>
      <c r="BV1151" s="147"/>
      <c r="BW1151" s="147"/>
      <c r="BX1151" s="147"/>
      <c r="BY1151" s="147"/>
      <c r="BZ1151" s="147"/>
      <c r="CA1151" s="147"/>
      <c r="CB1151" s="147"/>
      <c r="CC1151" s="147"/>
      <c r="CD1151" s="147"/>
      <c r="CE1151" s="147"/>
      <c r="CF1151" s="147"/>
      <c r="CG1151" s="147"/>
      <c r="CH1151" s="147"/>
      <c r="CI1151" s="147"/>
      <c r="CJ1151" s="147"/>
      <c r="CK1151" s="147"/>
    </row>
    <row r="1152" spans="1:89">
      <c r="A1152" s="147"/>
      <c r="B1152" s="147"/>
      <c r="C1152" s="147"/>
      <c r="D1152" s="147"/>
      <c r="E1152" s="147"/>
      <c r="F1152" s="147"/>
      <c r="G1152" s="147"/>
      <c r="H1152" s="147"/>
      <c r="I1152" s="147"/>
      <c r="J1152" s="147"/>
      <c r="K1152" s="147"/>
      <c r="L1152" s="147"/>
      <c r="M1152" s="147"/>
      <c r="N1152" s="147"/>
      <c r="O1152" s="158"/>
      <c r="P1152" s="147"/>
      <c r="Q1152" s="147"/>
      <c r="R1152" s="147"/>
      <c r="S1152" s="147"/>
      <c r="T1152" s="147"/>
      <c r="U1152" s="147"/>
      <c r="V1152" s="147"/>
      <c r="W1152" s="147"/>
      <c r="X1152" s="147"/>
      <c r="Y1152" s="147"/>
      <c r="Z1152" s="147"/>
      <c r="AA1152" s="147"/>
      <c r="AB1152" s="147"/>
      <c r="AC1152" s="147"/>
      <c r="AD1152" s="147"/>
      <c r="AE1152" s="147"/>
      <c r="AF1152" s="147"/>
      <c r="AG1152" s="147"/>
      <c r="AH1152" s="147"/>
      <c r="AI1152" s="147"/>
      <c r="AJ1152" s="147"/>
      <c r="AK1152" s="147"/>
      <c r="AL1152" s="147"/>
      <c r="AM1152" s="147"/>
      <c r="AN1152" s="147"/>
      <c r="AO1152" s="147"/>
      <c r="AP1152" s="147"/>
      <c r="AQ1152" s="147"/>
      <c r="AR1152" s="147"/>
      <c r="AS1152" s="147"/>
      <c r="AT1152" s="147"/>
      <c r="AU1152" s="147"/>
      <c r="AV1152" s="147"/>
      <c r="AW1152" s="147"/>
      <c r="AX1152" s="147"/>
      <c r="AY1152" s="147"/>
      <c r="AZ1152" s="147"/>
      <c r="BA1152" s="147"/>
      <c r="BB1152" s="147"/>
      <c r="BC1152" s="147"/>
      <c r="BD1152" s="147"/>
      <c r="BE1152" s="147"/>
      <c r="BF1152" s="147"/>
      <c r="BG1152" s="147"/>
      <c r="BH1152" s="147"/>
      <c r="BI1152" s="147"/>
      <c r="BJ1152" s="147"/>
      <c r="BK1152" s="147"/>
      <c r="BL1152" s="147"/>
      <c r="BM1152" s="147"/>
      <c r="BN1152" s="147"/>
      <c r="BO1152" s="147"/>
      <c r="BP1152" s="147"/>
      <c r="BQ1152" s="147"/>
      <c r="BR1152" s="147"/>
      <c r="BS1152" s="147"/>
      <c r="BT1152" s="147"/>
      <c r="BU1152" s="147"/>
      <c r="BV1152" s="147"/>
      <c r="BW1152" s="147"/>
      <c r="BX1152" s="147"/>
      <c r="BY1152" s="147"/>
      <c r="BZ1152" s="147"/>
      <c r="CA1152" s="147"/>
      <c r="CB1152" s="147"/>
      <c r="CC1152" s="147"/>
      <c r="CD1152" s="147"/>
      <c r="CE1152" s="147"/>
      <c r="CF1152" s="147"/>
      <c r="CG1152" s="147"/>
      <c r="CH1152" s="147"/>
      <c r="CI1152" s="147"/>
      <c r="CJ1152" s="147"/>
      <c r="CK1152" s="147"/>
    </row>
    <row r="1153" spans="1:89">
      <c r="A1153" s="147"/>
      <c r="B1153" s="147"/>
      <c r="C1153" s="147"/>
      <c r="D1153" s="147"/>
      <c r="E1153" s="147"/>
      <c r="F1153" s="147"/>
      <c r="G1153" s="147"/>
      <c r="H1153" s="147"/>
      <c r="I1153" s="147"/>
      <c r="J1153" s="147"/>
      <c r="K1153" s="147"/>
      <c r="L1153" s="147"/>
      <c r="M1153" s="147"/>
      <c r="N1153" s="147"/>
      <c r="O1153" s="158"/>
      <c r="P1153" s="147"/>
      <c r="Q1153" s="147"/>
      <c r="R1153" s="147"/>
      <c r="S1153" s="147"/>
      <c r="T1153" s="147"/>
      <c r="U1153" s="147"/>
      <c r="V1153" s="147"/>
      <c r="W1153" s="147"/>
      <c r="X1153" s="147"/>
      <c r="Y1153" s="147"/>
      <c r="Z1153" s="147"/>
      <c r="AA1153" s="147"/>
      <c r="AB1153" s="147"/>
      <c r="AC1153" s="147"/>
      <c r="AD1153" s="147"/>
      <c r="AE1153" s="147"/>
      <c r="AF1153" s="147"/>
      <c r="AG1153" s="147"/>
      <c r="AH1153" s="147"/>
      <c r="AI1153" s="147"/>
      <c r="AJ1153" s="147"/>
      <c r="AK1153" s="147"/>
      <c r="AL1153" s="147"/>
      <c r="AM1153" s="147"/>
      <c r="AN1153" s="147"/>
      <c r="AO1153" s="147"/>
      <c r="AP1153" s="147"/>
      <c r="AQ1153" s="147"/>
      <c r="AR1153" s="147"/>
      <c r="AS1153" s="147"/>
      <c r="AT1153" s="147"/>
      <c r="AU1153" s="147"/>
      <c r="AV1153" s="147"/>
      <c r="AW1153" s="147"/>
      <c r="AX1153" s="147"/>
      <c r="AY1153" s="147"/>
      <c r="AZ1153" s="147"/>
      <c r="BA1153" s="147"/>
      <c r="BB1153" s="147"/>
      <c r="BC1153" s="147"/>
      <c r="BD1153" s="147"/>
      <c r="BE1153" s="147"/>
      <c r="BF1153" s="147"/>
      <c r="BG1153" s="147"/>
      <c r="BH1153" s="147"/>
      <c r="BI1153" s="147"/>
      <c r="BJ1153" s="147"/>
      <c r="BK1153" s="147"/>
      <c r="BL1153" s="147"/>
      <c r="BM1153" s="147"/>
      <c r="BN1153" s="147"/>
      <c r="BO1153" s="147"/>
      <c r="BP1153" s="147"/>
      <c r="BQ1153" s="147"/>
      <c r="BR1153" s="147"/>
      <c r="BS1153" s="147"/>
      <c r="BT1153" s="147"/>
      <c r="BU1153" s="147"/>
      <c r="BV1153" s="147"/>
      <c r="BW1153" s="147"/>
      <c r="BX1153" s="147"/>
      <c r="BY1153" s="147"/>
      <c r="BZ1153" s="147"/>
      <c r="CA1153" s="147"/>
      <c r="CB1153" s="147"/>
      <c r="CC1153" s="147"/>
      <c r="CD1153" s="147"/>
      <c r="CE1153" s="147"/>
      <c r="CF1153" s="147"/>
      <c r="CG1153" s="147"/>
      <c r="CH1153" s="147"/>
      <c r="CI1153" s="147"/>
      <c r="CJ1153" s="147"/>
      <c r="CK1153" s="147"/>
    </row>
    <row r="1154" spans="1:89">
      <c r="A1154" s="147"/>
      <c r="B1154" s="147"/>
      <c r="C1154" s="147"/>
      <c r="D1154" s="147"/>
      <c r="E1154" s="147"/>
      <c r="F1154" s="147"/>
      <c r="G1154" s="147"/>
      <c r="H1154" s="147"/>
      <c r="I1154" s="147"/>
      <c r="J1154" s="147"/>
      <c r="K1154" s="147"/>
      <c r="L1154" s="147"/>
      <c r="M1154" s="147"/>
      <c r="N1154" s="147"/>
      <c r="O1154" s="158"/>
      <c r="P1154" s="147"/>
      <c r="Q1154" s="147"/>
      <c r="R1154" s="147"/>
      <c r="S1154" s="147"/>
      <c r="T1154" s="147"/>
      <c r="U1154" s="147"/>
      <c r="V1154" s="147"/>
      <c r="W1154" s="147"/>
      <c r="X1154" s="147"/>
      <c r="Y1154" s="147"/>
      <c r="Z1154" s="147"/>
      <c r="AA1154" s="147"/>
      <c r="AB1154" s="147"/>
      <c r="AC1154" s="147"/>
      <c r="AD1154" s="147"/>
      <c r="AE1154" s="147"/>
      <c r="AF1154" s="147"/>
      <c r="AG1154" s="147"/>
      <c r="AH1154" s="147"/>
      <c r="AI1154" s="147"/>
      <c r="AJ1154" s="147"/>
      <c r="AK1154" s="147"/>
      <c r="AL1154" s="147"/>
      <c r="AM1154" s="147"/>
      <c r="AN1154" s="147"/>
      <c r="AO1154" s="147"/>
      <c r="AP1154" s="147"/>
      <c r="AQ1154" s="147"/>
      <c r="AR1154" s="147"/>
      <c r="AS1154" s="147"/>
      <c r="AT1154" s="147"/>
      <c r="AU1154" s="147"/>
      <c r="AV1154" s="147"/>
      <c r="AW1154" s="147"/>
      <c r="AX1154" s="147"/>
      <c r="AY1154" s="147"/>
      <c r="AZ1154" s="147"/>
      <c r="BA1154" s="147"/>
      <c r="BB1154" s="147"/>
      <c r="BC1154" s="147"/>
      <c r="BD1154" s="147"/>
      <c r="BE1154" s="147"/>
      <c r="BF1154" s="147"/>
      <c r="BG1154" s="147"/>
      <c r="BH1154" s="147"/>
      <c r="BI1154" s="147"/>
      <c r="BJ1154" s="147"/>
      <c r="BK1154" s="147"/>
      <c r="BL1154" s="147"/>
      <c r="BM1154" s="147"/>
      <c r="BN1154" s="147"/>
      <c r="BO1154" s="147"/>
      <c r="BP1154" s="147"/>
      <c r="BQ1154" s="147"/>
      <c r="BR1154" s="147"/>
      <c r="BS1154" s="147"/>
      <c r="BT1154" s="147"/>
      <c r="BU1154" s="147"/>
      <c r="BV1154" s="147"/>
      <c r="BW1154" s="147"/>
      <c r="BX1154" s="147"/>
      <c r="BY1154" s="147"/>
      <c r="BZ1154" s="147"/>
      <c r="CA1154" s="147"/>
      <c r="CB1154" s="147"/>
      <c r="CC1154" s="147"/>
      <c r="CD1154" s="147"/>
      <c r="CE1154" s="147"/>
      <c r="CF1154" s="147"/>
      <c r="CG1154" s="147"/>
      <c r="CH1154" s="147"/>
      <c r="CI1154" s="147"/>
      <c r="CJ1154" s="147"/>
      <c r="CK1154" s="147"/>
    </row>
    <row r="1155" spans="1:89">
      <c r="A1155" s="147"/>
      <c r="B1155" s="147"/>
      <c r="C1155" s="147"/>
      <c r="D1155" s="147"/>
      <c r="E1155" s="147"/>
      <c r="F1155" s="147"/>
      <c r="G1155" s="147"/>
      <c r="H1155" s="147"/>
      <c r="I1155" s="147"/>
      <c r="J1155" s="147"/>
      <c r="K1155" s="147"/>
      <c r="L1155" s="147"/>
      <c r="M1155" s="147"/>
      <c r="N1155" s="147"/>
      <c r="O1155" s="158"/>
      <c r="P1155" s="147"/>
      <c r="Q1155" s="147"/>
      <c r="R1155" s="147"/>
      <c r="S1155" s="147"/>
      <c r="T1155" s="147"/>
      <c r="U1155" s="147"/>
      <c r="V1155" s="147"/>
      <c r="W1155" s="147"/>
      <c r="X1155" s="147"/>
      <c r="Y1155" s="147"/>
      <c r="Z1155" s="147"/>
      <c r="AA1155" s="147"/>
      <c r="AB1155" s="147"/>
      <c r="AC1155" s="147"/>
      <c r="AD1155" s="147"/>
      <c r="AE1155" s="147"/>
      <c r="AF1155" s="147"/>
      <c r="AG1155" s="147"/>
      <c r="AH1155" s="147"/>
      <c r="AI1155" s="147"/>
      <c r="AJ1155" s="147"/>
      <c r="AK1155" s="147"/>
      <c r="AL1155" s="147"/>
      <c r="AM1155" s="147"/>
      <c r="AN1155" s="147"/>
      <c r="AO1155" s="147"/>
      <c r="AP1155" s="147"/>
      <c r="AQ1155" s="147"/>
      <c r="AR1155" s="147"/>
      <c r="AS1155" s="147"/>
      <c r="AT1155" s="147"/>
      <c r="AU1155" s="147"/>
      <c r="AV1155" s="147"/>
      <c r="AW1155" s="147"/>
      <c r="AX1155" s="147"/>
      <c r="AY1155" s="147"/>
      <c r="AZ1155" s="147"/>
      <c r="BA1155" s="147"/>
      <c r="BB1155" s="147"/>
      <c r="BC1155" s="147"/>
      <c r="BD1155" s="147"/>
      <c r="BE1155" s="147"/>
      <c r="BF1155" s="147"/>
      <c r="BG1155" s="147"/>
      <c r="BH1155" s="147"/>
      <c r="BI1155" s="147"/>
      <c r="BJ1155" s="147"/>
      <c r="BK1155" s="147"/>
      <c r="BL1155" s="147"/>
      <c r="BM1155" s="147"/>
      <c r="BN1155" s="147"/>
      <c r="BO1155" s="147"/>
      <c r="BP1155" s="147"/>
      <c r="BQ1155" s="147"/>
      <c r="BR1155" s="147"/>
      <c r="BS1155" s="147"/>
      <c r="BT1155" s="147"/>
      <c r="BU1155" s="147"/>
      <c r="BV1155" s="147"/>
      <c r="BW1155" s="147"/>
      <c r="BX1155" s="147"/>
      <c r="BY1155" s="147"/>
      <c r="BZ1155" s="147"/>
      <c r="CA1155" s="147"/>
      <c r="CB1155" s="147"/>
      <c r="CC1155" s="147"/>
      <c r="CD1155" s="147"/>
      <c r="CE1155" s="147"/>
      <c r="CF1155" s="147"/>
      <c r="CG1155" s="147"/>
      <c r="CH1155" s="147"/>
      <c r="CI1155" s="147"/>
      <c r="CJ1155" s="147"/>
      <c r="CK1155" s="147"/>
    </row>
    <row r="1156" spans="1:89">
      <c r="A1156" s="147"/>
      <c r="B1156" s="147"/>
      <c r="C1156" s="147"/>
      <c r="D1156" s="147"/>
      <c r="E1156" s="147"/>
      <c r="F1156" s="147"/>
      <c r="G1156" s="147"/>
      <c r="H1156" s="147"/>
      <c r="I1156" s="147"/>
      <c r="J1156" s="147"/>
      <c r="K1156" s="147"/>
      <c r="L1156" s="147"/>
      <c r="M1156" s="147"/>
      <c r="N1156" s="147"/>
      <c r="O1156" s="158"/>
      <c r="P1156" s="147"/>
      <c r="Q1156" s="147"/>
      <c r="R1156" s="147"/>
      <c r="S1156" s="147"/>
      <c r="T1156" s="147"/>
      <c r="U1156" s="147"/>
      <c r="V1156" s="147"/>
      <c r="W1156" s="147"/>
      <c r="X1156" s="147"/>
      <c r="Y1156" s="147"/>
      <c r="Z1156" s="147"/>
      <c r="AA1156" s="147"/>
      <c r="AB1156" s="147"/>
      <c r="AC1156" s="147"/>
      <c r="AD1156" s="147"/>
      <c r="AE1156" s="147"/>
      <c r="AF1156" s="147"/>
      <c r="AG1156" s="147"/>
      <c r="AH1156" s="147"/>
      <c r="AI1156" s="147"/>
      <c r="AJ1156" s="147"/>
      <c r="AK1156" s="147"/>
      <c r="AL1156" s="147"/>
      <c r="AM1156" s="147"/>
      <c r="AN1156" s="147"/>
      <c r="AO1156" s="147"/>
      <c r="AP1156" s="147"/>
      <c r="AQ1156" s="147"/>
      <c r="AR1156" s="147"/>
      <c r="AS1156" s="147"/>
      <c r="AT1156" s="147"/>
      <c r="AU1156" s="147"/>
      <c r="AV1156" s="147"/>
      <c r="AW1156" s="147"/>
      <c r="AX1156" s="147"/>
      <c r="AY1156" s="147"/>
      <c r="AZ1156" s="147"/>
      <c r="BA1156" s="147"/>
      <c r="BB1156" s="147"/>
      <c r="BC1156" s="147"/>
      <c r="BD1156" s="147"/>
      <c r="BE1156" s="147"/>
      <c r="BF1156" s="147"/>
      <c r="BG1156" s="147"/>
      <c r="BH1156" s="147"/>
      <c r="BI1156" s="147"/>
      <c r="BJ1156" s="147"/>
      <c r="BK1156" s="147"/>
      <c r="BL1156" s="147"/>
      <c r="BM1156" s="147"/>
      <c r="BN1156" s="147"/>
      <c r="BO1156" s="147"/>
      <c r="BP1156" s="147"/>
      <c r="BQ1156" s="147"/>
      <c r="BR1156" s="147"/>
      <c r="BS1156" s="147"/>
      <c r="BT1156" s="147"/>
      <c r="BU1156" s="147"/>
      <c r="BV1156" s="147"/>
      <c r="BW1156" s="147"/>
      <c r="BX1156" s="147"/>
      <c r="BY1156" s="147"/>
      <c r="BZ1156" s="147"/>
      <c r="CA1156" s="147"/>
      <c r="CB1156" s="147"/>
      <c r="CC1156" s="147"/>
      <c r="CD1156" s="147"/>
      <c r="CE1156" s="147"/>
      <c r="CF1156" s="147"/>
      <c r="CG1156" s="147"/>
      <c r="CH1156" s="147"/>
      <c r="CI1156" s="147"/>
      <c r="CJ1156" s="147"/>
      <c r="CK1156" s="147"/>
    </row>
    <row r="1157" spans="1:89">
      <c r="A1157" s="147"/>
      <c r="B1157" s="147"/>
      <c r="C1157" s="147"/>
      <c r="D1157" s="147"/>
      <c r="E1157" s="147"/>
      <c r="F1157" s="147"/>
      <c r="G1157" s="147"/>
      <c r="H1157" s="147"/>
      <c r="I1157" s="147"/>
      <c r="J1157" s="147"/>
      <c r="K1157" s="147"/>
      <c r="L1157" s="147"/>
      <c r="M1157" s="147"/>
      <c r="N1157" s="147"/>
      <c r="O1157" s="158"/>
      <c r="P1157" s="147"/>
      <c r="Q1157" s="147"/>
      <c r="R1157" s="147"/>
      <c r="S1157" s="147"/>
      <c r="T1157" s="147"/>
      <c r="U1157" s="147"/>
      <c r="V1157" s="147"/>
      <c r="W1157" s="147"/>
      <c r="X1157" s="147"/>
      <c r="Y1157" s="147"/>
      <c r="Z1157" s="147"/>
      <c r="AA1157" s="147"/>
      <c r="AB1157" s="147"/>
      <c r="AC1157" s="147"/>
      <c r="AD1157" s="147"/>
      <c r="AE1157" s="147"/>
      <c r="AF1157" s="147"/>
      <c r="AG1157" s="147"/>
      <c r="AH1157" s="147"/>
      <c r="AI1157" s="147"/>
      <c r="AJ1157" s="147"/>
      <c r="AK1157" s="147"/>
      <c r="AL1157" s="147"/>
      <c r="AM1157" s="147"/>
      <c r="AN1157" s="147"/>
      <c r="AO1157" s="147"/>
      <c r="AP1157" s="147"/>
      <c r="AQ1157" s="147"/>
      <c r="AR1157" s="147"/>
      <c r="AS1157" s="147"/>
      <c r="AT1157" s="147"/>
      <c r="AU1157" s="147"/>
      <c r="AV1157" s="147"/>
      <c r="AW1157" s="147"/>
      <c r="AX1157" s="147"/>
      <c r="AY1157" s="147"/>
      <c r="AZ1157" s="147"/>
      <c r="BA1157" s="147"/>
      <c r="BB1157" s="147"/>
      <c r="BC1157" s="147"/>
      <c r="BD1157" s="147"/>
      <c r="BE1157" s="147"/>
      <c r="BF1157" s="147"/>
      <c r="BG1157" s="147"/>
      <c r="BH1157" s="147"/>
      <c r="BI1157" s="147"/>
      <c r="BJ1157" s="147"/>
      <c r="BK1157" s="147"/>
      <c r="BL1157" s="147"/>
      <c r="BM1157" s="147"/>
      <c r="BN1157" s="147"/>
      <c r="BO1157" s="147"/>
      <c r="BP1157" s="147"/>
      <c r="BQ1157" s="147"/>
      <c r="BR1157" s="147"/>
      <c r="BS1157" s="147"/>
      <c r="BT1157" s="147"/>
      <c r="BU1157" s="147"/>
      <c r="BV1157" s="147"/>
      <c r="BW1157" s="147"/>
      <c r="BX1157" s="147"/>
      <c r="BY1157" s="147"/>
      <c r="BZ1157" s="147"/>
      <c r="CA1157" s="147"/>
      <c r="CB1157" s="147"/>
      <c r="CC1157" s="147"/>
      <c r="CD1157" s="147"/>
      <c r="CE1157" s="147"/>
      <c r="CF1157" s="147"/>
      <c r="CG1157" s="147"/>
      <c r="CH1157" s="147"/>
      <c r="CI1157" s="147"/>
      <c r="CJ1157" s="147"/>
      <c r="CK1157" s="147"/>
    </row>
    <row r="1158" spans="1:89">
      <c r="A1158" s="147"/>
      <c r="B1158" s="147"/>
      <c r="C1158" s="147"/>
      <c r="D1158" s="147"/>
      <c r="E1158" s="147"/>
      <c r="F1158" s="147"/>
      <c r="G1158" s="147"/>
      <c r="H1158" s="147"/>
      <c r="I1158" s="147"/>
      <c r="J1158" s="147"/>
      <c r="K1158" s="147"/>
      <c r="L1158" s="147"/>
      <c r="M1158" s="147"/>
      <c r="N1158" s="147"/>
      <c r="O1158" s="158"/>
      <c r="P1158" s="147"/>
      <c r="Q1158" s="147"/>
      <c r="R1158" s="147"/>
      <c r="S1158" s="147"/>
      <c r="T1158" s="147"/>
      <c r="U1158" s="147"/>
      <c r="V1158" s="147"/>
      <c r="W1158" s="147"/>
      <c r="X1158" s="147"/>
      <c r="Y1158" s="147"/>
      <c r="Z1158" s="147"/>
      <c r="AA1158" s="147"/>
      <c r="AB1158" s="147"/>
      <c r="AC1158" s="147"/>
      <c r="AD1158" s="147"/>
      <c r="AE1158" s="147"/>
      <c r="AF1158" s="147"/>
      <c r="AG1158" s="147"/>
      <c r="AH1158" s="147"/>
      <c r="AI1158" s="147"/>
      <c r="AJ1158" s="147"/>
      <c r="AK1158" s="147"/>
      <c r="AL1158" s="147"/>
      <c r="AM1158" s="147"/>
      <c r="AN1158" s="147"/>
      <c r="AO1158" s="147"/>
      <c r="AP1158" s="147"/>
      <c r="AQ1158" s="147"/>
      <c r="AR1158" s="147"/>
      <c r="AS1158" s="147"/>
      <c r="AT1158" s="147"/>
      <c r="AU1158" s="147"/>
      <c r="AV1158" s="147"/>
      <c r="AW1158" s="147"/>
      <c r="AX1158" s="147"/>
      <c r="AY1158" s="147"/>
      <c r="AZ1158" s="147"/>
      <c r="BA1158" s="147"/>
      <c r="BB1158" s="147"/>
      <c r="BC1158" s="147"/>
      <c r="BD1158" s="147"/>
      <c r="BE1158" s="147"/>
      <c r="BF1158" s="147"/>
      <c r="BG1158" s="147"/>
      <c r="BH1158" s="147"/>
      <c r="BI1158" s="147"/>
      <c r="BJ1158" s="147"/>
      <c r="BK1158" s="147"/>
      <c r="BL1158" s="147"/>
      <c r="BM1158" s="147"/>
      <c r="BN1158" s="147"/>
      <c r="BO1158" s="147"/>
      <c r="BP1158" s="147"/>
      <c r="BQ1158" s="147"/>
      <c r="BR1158" s="147"/>
      <c r="BS1158" s="147"/>
      <c r="BT1158" s="147"/>
      <c r="BU1158" s="147"/>
      <c r="BV1158" s="147"/>
      <c r="BW1158" s="147"/>
      <c r="BX1158" s="147"/>
      <c r="BY1158" s="147"/>
      <c r="BZ1158" s="147"/>
      <c r="CA1158" s="147"/>
      <c r="CB1158" s="147"/>
      <c r="CC1158" s="147"/>
      <c r="CD1158" s="147"/>
      <c r="CE1158" s="147"/>
      <c r="CF1158" s="147"/>
      <c r="CG1158" s="147"/>
      <c r="CH1158" s="147"/>
      <c r="CI1158" s="147"/>
      <c r="CJ1158" s="147"/>
      <c r="CK1158" s="147"/>
    </row>
    <row r="1159" spans="1:89">
      <c r="A1159" s="147"/>
      <c r="B1159" s="147"/>
      <c r="C1159" s="147"/>
      <c r="D1159" s="147"/>
      <c r="E1159" s="147"/>
      <c r="F1159" s="147"/>
      <c r="G1159" s="147"/>
      <c r="H1159" s="147"/>
      <c r="I1159" s="147"/>
      <c r="J1159" s="147"/>
      <c r="K1159" s="147"/>
      <c r="L1159" s="147"/>
      <c r="M1159" s="147"/>
      <c r="N1159" s="147"/>
      <c r="O1159" s="158"/>
      <c r="P1159" s="147"/>
      <c r="Q1159" s="147"/>
      <c r="R1159" s="147"/>
      <c r="S1159" s="147"/>
      <c r="T1159" s="147"/>
      <c r="U1159" s="147"/>
      <c r="V1159" s="147"/>
      <c r="W1159" s="147"/>
      <c r="X1159" s="147"/>
      <c r="Y1159" s="147"/>
      <c r="Z1159" s="147"/>
      <c r="AA1159" s="147"/>
      <c r="AB1159" s="147"/>
      <c r="AC1159" s="147"/>
      <c r="AD1159" s="147"/>
      <c r="AE1159" s="147"/>
      <c r="AF1159" s="147"/>
      <c r="AG1159" s="147"/>
      <c r="AH1159" s="147"/>
      <c r="AI1159" s="147"/>
      <c r="AJ1159" s="147"/>
      <c r="AK1159" s="147"/>
      <c r="AL1159" s="147"/>
      <c r="AM1159" s="147"/>
      <c r="AN1159" s="147"/>
      <c r="AO1159" s="147"/>
      <c r="AP1159" s="147"/>
      <c r="AQ1159" s="147"/>
      <c r="AR1159" s="147"/>
      <c r="AS1159" s="147"/>
      <c r="AT1159" s="147"/>
      <c r="AU1159" s="147"/>
      <c r="AV1159" s="147"/>
      <c r="AW1159" s="147"/>
      <c r="AX1159" s="147"/>
      <c r="AY1159" s="147"/>
      <c r="AZ1159" s="147"/>
      <c r="BA1159" s="147"/>
      <c r="BB1159" s="147"/>
      <c r="BC1159" s="147"/>
      <c r="BD1159" s="147"/>
      <c r="BE1159" s="147"/>
      <c r="BF1159" s="147"/>
      <c r="BG1159" s="147"/>
      <c r="BH1159" s="147"/>
      <c r="BI1159" s="147"/>
      <c r="BJ1159" s="147"/>
      <c r="BK1159" s="147"/>
      <c r="BL1159" s="147"/>
      <c r="BM1159" s="147"/>
      <c r="BN1159" s="147"/>
      <c r="BO1159" s="147"/>
      <c r="BP1159" s="147"/>
      <c r="BQ1159" s="147"/>
      <c r="BR1159" s="147"/>
      <c r="BS1159" s="147"/>
      <c r="BT1159" s="147"/>
      <c r="BU1159" s="147"/>
      <c r="BV1159" s="147"/>
      <c r="BW1159" s="147"/>
      <c r="BX1159" s="147"/>
      <c r="BY1159" s="147"/>
      <c r="BZ1159" s="147"/>
      <c r="CA1159" s="147"/>
      <c r="CB1159" s="147"/>
      <c r="CC1159" s="147"/>
      <c r="CD1159" s="147"/>
      <c r="CE1159" s="147"/>
      <c r="CF1159" s="147"/>
      <c r="CG1159" s="147"/>
      <c r="CH1159" s="147"/>
      <c r="CI1159" s="147"/>
      <c r="CJ1159" s="147"/>
      <c r="CK1159" s="147"/>
    </row>
    <row r="1160" spans="1:89">
      <c r="A1160" s="147"/>
      <c r="B1160" s="147"/>
      <c r="C1160" s="147"/>
      <c r="D1160" s="147"/>
      <c r="E1160" s="147"/>
      <c r="F1160" s="147"/>
      <c r="G1160" s="147"/>
      <c r="H1160" s="147"/>
      <c r="I1160" s="147"/>
      <c r="J1160" s="147"/>
      <c r="K1160" s="147"/>
      <c r="L1160" s="147"/>
      <c r="M1160" s="147"/>
      <c r="N1160" s="147"/>
      <c r="O1160" s="158"/>
      <c r="P1160" s="147"/>
      <c r="Q1160" s="147"/>
      <c r="R1160" s="147"/>
      <c r="S1160" s="147"/>
      <c r="T1160" s="147"/>
      <c r="U1160" s="147"/>
      <c r="V1160" s="147"/>
      <c r="W1160" s="147"/>
      <c r="X1160" s="147"/>
      <c r="Y1160" s="147"/>
      <c r="Z1160" s="147"/>
      <c r="AA1160" s="147"/>
      <c r="AB1160" s="147"/>
      <c r="AC1160" s="147"/>
      <c r="AD1160" s="147"/>
      <c r="AE1160" s="147"/>
      <c r="AF1160" s="147"/>
      <c r="AG1160" s="147"/>
      <c r="AH1160" s="147"/>
      <c r="AI1160" s="147"/>
      <c r="AJ1160" s="147"/>
      <c r="AK1160" s="147"/>
      <c r="AL1160" s="147"/>
      <c r="AM1160" s="147"/>
      <c r="AN1160" s="147"/>
      <c r="AO1160" s="147"/>
      <c r="AP1160" s="147"/>
      <c r="AQ1160" s="147"/>
      <c r="AR1160" s="147"/>
      <c r="AS1160" s="147"/>
      <c r="AT1160" s="147"/>
      <c r="AU1160" s="147"/>
      <c r="AV1160" s="147"/>
      <c r="AW1160" s="147"/>
      <c r="AX1160" s="147"/>
      <c r="AY1160" s="147"/>
      <c r="AZ1160" s="147"/>
      <c r="BA1160" s="147"/>
      <c r="BB1160" s="147"/>
      <c r="BC1160" s="147"/>
      <c r="BD1160" s="147"/>
      <c r="BE1160" s="147"/>
      <c r="BF1160" s="147"/>
      <c r="BG1160" s="147"/>
      <c r="BH1160" s="147"/>
      <c r="BI1160" s="147"/>
      <c r="BJ1160" s="147"/>
      <c r="BK1160" s="147"/>
      <c r="BL1160" s="147"/>
      <c r="BM1160" s="147"/>
      <c r="BN1160" s="147"/>
      <c r="BO1160" s="147"/>
      <c r="BP1160" s="147"/>
      <c r="BQ1160" s="147"/>
      <c r="BR1160" s="147"/>
      <c r="BS1160" s="147"/>
      <c r="BT1160" s="147"/>
      <c r="BU1160" s="147"/>
      <c r="BV1160" s="147"/>
      <c r="BW1160" s="147"/>
      <c r="BX1160" s="147"/>
      <c r="BY1160" s="147"/>
      <c r="BZ1160" s="147"/>
      <c r="CA1160" s="147"/>
      <c r="CB1160" s="147"/>
      <c r="CC1160" s="147"/>
      <c r="CD1160" s="147"/>
      <c r="CE1160" s="147"/>
      <c r="CF1160" s="147"/>
      <c r="CG1160" s="147"/>
      <c r="CH1160" s="147"/>
      <c r="CI1160" s="147"/>
      <c r="CJ1160" s="147"/>
      <c r="CK1160" s="147"/>
    </row>
    <row r="1161" spans="1:89">
      <c r="A1161" s="147"/>
      <c r="B1161" s="147"/>
      <c r="C1161" s="147"/>
      <c r="D1161" s="147"/>
      <c r="E1161" s="147"/>
      <c r="F1161" s="147"/>
      <c r="G1161" s="147"/>
      <c r="H1161" s="147"/>
      <c r="I1161" s="147"/>
      <c r="J1161" s="147"/>
      <c r="K1161" s="147"/>
      <c r="L1161" s="147"/>
      <c r="M1161" s="147"/>
      <c r="N1161" s="147"/>
      <c r="O1161" s="158"/>
      <c r="P1161" s="147"/>
      <c r="Q1161" s="147"/>
      <c r="R1161" s="147"/>
      <c r="S1161" s="147"/>
      <c r="T1161" s="147"/>
      <c r="U1161" s="147"/>
      <c r="V1161" s="147"/>
      <c r="W1161" s="147"/>
      <c r="X1161" s="147"/>
      <c r="Y1161" s="147"/>
      <c r="Z1161" s="147"/>
      <c r="AA1161" s="147"/>
      <c r="AB1161" s="147"/>
      <c r="AC1161" s="147"/>
      <c r="AD1161" s="147"/>
      <c r="AE1161" s="147"/>
      <c r="AF1161" s="147"/>
      <c r="AG1161" s="147"/>
      <c r="AH1161" s="147"/>
      <c r="AI1161" s="147"/>
      <c r="AJ1161" s="147"/>
      <c r="AK1161" s="147"/>
      <c r="AL1161" s="147"/>
      <c r="AM1161" s="147"/>
      <c r="AN1161" s="147"/>
      <c r="AO1161" s="147"/>
      <c r="AP1161" s="147"/>
      <c r="AQ1161" s="147"/>
      <c r="AR1161" s="147"/>
      <c r="AS1161" s="147"/>
      <c r="AT1161" s="147"/>
      <c r="AU1161" s="147"/>
      <c r="AV1161" s="147"/>
      <c r="AW1161" s="147"/>
      <c r="AX1161" s="147"/>
      <c r="AY1161" s="147"/>
      <c r="AZ1161" s="147"/>
      <c r="BA1161" s="147"/>
      <c r="BB1161" s="147"/>
      <c r="BC1161" s="147"/>
      <c r="BD1161" s="147"/>
      <c r="BE1161" s="147"/>
      <c r="BF1161" s="147"/>
      <c r="BG1161" s="147"/>
      <c r="BH1161" s="147"/>
      <c r="BI1161" s="147"/>
      <c r="BJ1161" s="147"/>
      <c r="BK1161" s="147"/>
      <c r="BL1161" s="147"/>
      <c r="BM1161" s="147"/>
      <c r="BN1161" s="147"/>
      <c r="BO1161" s="147"/>
      <c r="BP1161" s="147"/>
      <c r="BQ1161" s="147"/>
      <c r="BR1161" s="147"/>
      <c r="BS1161" s="147"/>
      <c r="BT1161" s="147"/>
      <c r="BU1161" s="147"/>
      <c r="BV1161" s="147"/>
      <c r="BW1161" s="147"/>
      <c r="BX1161" s="147"/>
      <c r="BY1161" s="147"/>
      <c r="BZ1161" s="147"/>
      <c r="CA1161" s="147"/>
      <c r="CB1161" s="147"/>
      <c r="CC1161" s="147"/>
      <c r="CD1161" s="147"/>
      <c r="CE1161" s="147"/>
      <c r="CF1161" s="147"/>
      <c r="CG1161" s="147"/>
      <c r="CH1161" s="147"/>
      <c r="CI1161" s="147"/>
      <c r="CJ1161" s="147"/>
      <c r="CK1161" s="147"/>
    </row>
    <row r="1162" spans="1:89">
      <c r="A1162" s="147"/>
      <c r="B1162" s="147"/>
      <c r="C1162" s="147"/>
      <c r="D1162" s="147"/>
      <c r="E1162" s="147"/>
      <c r="F1162" s="147"/>
      <c r="G1162" s="147"/>
      <c r="H1162" s="147"/>
      <c r="I1162" s="147"/>
      <c r="J1162" s="147"/>
      <c r="K1162" s="147"/>
      <c r="L1162" s="147"/>
      <c r="M1162" s="147"/>
      <c r="N1162" s="147"/>
      <c r="O1162" s="158"/>
      <c r="P1162" s="147"/>
      <c r="Q1162" s="147"/>
      <c r="R1162" s="147"/>
      <c r="S1162" s="147"/>
      <c r="T1162" s="147"/>
      <c r="U1162" s="147"/>
      <c r="V1162" s="147"/>
      <c r="W1162" s="147"/>
      <c r="X1162" s="147"/>
      <c r="Y1162" s="147"/>
      <c r="Z1162" s="147"/>
      <c r="AA1162" s="147"/>
      <c r="AB1162" s="147"/>
      <c r="AC1162" s="147"/>
      <c r="AD1162" s="147"/>
      <c r="AE1162" s="147"/>
      <c r="AF1162" s="147"/>
      <c r="AG1162" s="147"/>
      <c r="AH1162" s="147"/>
      <c r="AI1162" s="147"/>
      <c r="AJ1162" s="147"/>
      <c r="AK1162" s="147"/>
      <c r="AL1162" s="147"/>
      <c r="AM1162" s="147"/>
      <c r="AN1162" s="147"/>
      <c r="AO1162" s="147"/>
      <c r="AP1162" s="147"/>
      <c r="AQ1162" s="147"/>
      <c r="AR1162" s="147"/>
      <c r="AS1162" s="147"/>
      <c r="AT1162" s="147"/>
      <c r="AU1162" s="147"/>
      <c r="AV1162" s="147"/>
      <c r="AW1162" s="147"/>
      <c r="AX1162" s="147"/>
      <c r="AY1162" s="147"/>
      <c r="AZ1162" s="147"/>
      <c r="BA1162" s="147"/>
      <c r="BB1162" s="147"/>
      <c r="BC1162" s="147"/>
      <c r="BD1162" s="147"/>
      <c r="BE1162" s="147"/>
      <c r="BF1162" s="147"/>
      <c r="BG1162" s="147"/>
      <c r="BH1162" s="147"/>
      <c r="BI1162" s="147"/>
      <c r="BJ1162" s="147"/>
      <c r="BK1162" s="147"/>
      <c r="BL1162" s="147"/>
      <c r="BM1162" s="147"/>
      <c r="BN1162" s="147"/>
      <c r="BO1162" s="147"/>
      <c r="BP1162" s="147"/>
      <c r="BQ1162" s="147"/>
      <c r="BR1162" s="147"/>
      <c r="BS1162" s="147"/>
      <c r="BT1162" s="147"/>
      <c r="BU1162" s="147"/>
      <c r="BV1162" s="147"/>
      <c r="BW1162" s="147"/>
      <c r="BX1162" s="147"/>
      <c r="BY1162" s="147"/>
      <c r="BZ1162" s="147"/>
      <c r="CA1162" s="147"/>
      <c r="CB1162" s="147"/>
      <c r="CC1162" s="147"/>
      <c r="CD1162" s="147"/>
      <c r="CE1162" s="147"/>
      <c r="CF1162" s="147"/>
      <c r="CG1162" s="147"/>
      <c r="CH1162" s="147"/>
      <c r="CI1162" s="147"/>
      <c r="CJ1162" s="147"/>
      <c r="CK1162" s="147"/>
    </row>
    <row r="1163" spans="1:89">
      <c r="A1163" s="147"/>
      <c r="B1163" s="147"/>
      <c r="C1163" s="147"/>
      <c r="D1163" s="147"/>
      <c r="E1163" s="147"/>
      <c r="F1163" s="147"/>
      <c r="G1163" s="147"/>
      <c r="H1163" s="147"/>
      <c r="I1163" s="147"/>
      <c r="J1163" s="147"/>
      <c r="K1163" s="147"/>
      <c r="L1163" s="147"/>
      <c r="M1163" s="147"/>
      <c r="N1163" s="147"/>
      <c r="O1163" s="158"/>
      <c r="P1163" s="147"/>
      <c r="Q1163" s="147"/>
      <c r="R1163" s="147"/>
      <c r="S1163" s="147"/>
      <c r="T1163" s="147"/>
      <c r="U1163" s="147"/>
      <c r="V1163" s="147"/>
      <c r="W1163" s="147"/>
      <c r="X1163" s="147"/>
      <c r="Y1163" s="147"/>
      <c r="Z1163" s="147"/>
      <c r="AA1163" s="147"/>
      <c r="AB1163" s="147"/>
      <c r="AC1163" s="147"/>
      <c r="AD1163" s="147"/>
      <c r="AE1163" s="147"/>
      <c r="AF1163" s="147"/>
      <c r="AG1163" s="147"/>
      <c r="AH1163" s="147"/>
      <c r="AI1163" s="147"/>
      <c r="AJ1163" s="147"/>
      <c r="AK1163" s="147"/>
      <c r="AL1163" s="147"/>
      <c r="AM1163" s="147"/>
      <c r="AN1163" s="147"/>
      <c r="AO1163" s="147"/>
      <c r="AP1163" s="147"/>
      <c r="AQ1163" s="147"/>
      <c r="AR1163" s="147"/>
      <c r="AS1163" s="147"/>
      <c r="AT1163" s="147"/>
      <c r="AU1163" s="147"/>
      <c r="AV1163" s="147"/>
      <c r="AW1163" s="147"/>
      <c r="AX1163" s="147"/>
      <c r="AY1163" s="147"/>
      <c r="AZ1163" s="147"/>
      <c r="BA1163" s="147"/>
      <c r="BB1163" s="147"/>
      <c r="BC1163" s="147"/>
      <c r="BD1163" s="147"/>
      <c r="BE1163" s="147"/>
      <c r="BF1163" s="147"/>
      <c r="BG1163" s="147"/>
      <c r="BH1163" s="147"/>
      <c r="BI1163" s="147"/>
      <c r="BJ1163" s="147"/>
      <c r="BK1163" s="147"/>
      <c r="BL1163" s="147"/>
      <c r="BM1163" s="147"/>
      <c r="BN1163" s="147"/>
      <c r="BO1163" s="147"/>
      <c r="BP1163" s="147"/>
      <c r="BQ1163" s="147"/>
      <c r="BR1163" s="147"/>
      <c r="BS1163" s="147"/>
      <c r="BT1163" s="147"/>
      <c r="BU1163" s="147"/>
      <c r="BV1163" s="147"/>
      <c r="BW1163" s="147"/>
      <c r="BX1163" s="147"/>
      <c r="BY1163" s="147"/>
      <c r="BZ1163" s="147"/>
      <c r="CA1163" s="147"/>
      <c r="CB1163" s="147"/>
      <c r="CC1163" s="147"/>
      <c r="CD1163" s="147"/>
      <c r="CE1163" s="147"/>
      <c r="CF1163" s="147"/>
      <c r="CG1163" s="147"/>
      <c r="CH1163" s="147"/>
      <c r="CI1163" s="147"/>
      <c r="CJ1163" s="147"/>
      <c r="CK1163" s="147"/>
    </row>
    <row r="1164" spans="1:89">
      <c r="A1164" s="147"/>
      <c r="B1164" s="147"/>
      <c r="C1164" s="147"/>
      <c r="D1164" s="147"/>
      <c r="E1164" s="147"/>
      <c r="F1164" s="147"/>
      <c r="G1164" s="147"/>
      <c r="H1164" s="147"/>
      <c r="I1164" s="147"/>
      <c r="J1164" s="147"/>
      <c r="K1164" s="147"/>
      <c r="L1164" s="147"/>
      <c r="M1164" s="147"/>
      <c r="N1164" s="147"/>
      <c r="O1164" s="158"/>
      <c r="P1164" s="147"/>
      <c r="Q1164" s="147"/>
      <c r="R1164" s="147"/>
      <c r="S1164" s="147"/>
      <c r="T1164" s="147"/>
      <c r="U1164" s="147"/>
      <c r="V1164" s="147"/>
      <c r="W1164" s="147"/>
      <c r="X1164" s="147"/>
      <c r="Y1164" s="147"/>
      <c r="Z1164" s="147"/>
      <c r="AA1164" s="147"/>
      <c r="AB1164" s="147"/>
      <c r="AC1164" s="147"/>
      <c r="AD1164" s="147"/>
      <c r="AE1164" s="147"/>
      <c r="AF1164" s="147"/>
      <c r="AG1164" s="147"/>
      <c r="AH1164" s="147"/>
      <c r="AI1164" s="147"/>
      <c r="AJ1164" s="147"/>
      <c r="AK1164" s="147"/>
      <c r="AL1164" s="147"/>
      <c r="AM1164" s="147"/>
      <c r="AN1164" s="147"/>
      <c r="AO1164" s="147"/>
      <c r="AP1164" s="147"/>
      <c r="AQ1164" s="147"/>
      <c r="AR1164" s="147"/>
      <c r="AS1164" s="147"/>
      <c r="AT1164" s="147"/>
      <c r="AU1164" s="147"/>
      <c r="AV1164" s="147"/>
      <c r="AW1164" s="147"/>
      <c r="AX1164" s="147"/>
      <c r="AY1164" s="147"/>
      <c r="AZ1164" s="147"/>
      <c r="BA1164" s="147"/>
      <c r="BB1164" s="147"/>
      <c r="BC1164" s="147"/>
      <c r="BD1164" s="147"/>
      <c r="BE1164" s="147"/>
      <c r="BF1164" s="147"/>
      <c r="BG1164" s="147"/>
      <c r="BH1164" s="147"/>
      <c r="BI1164" s="147"/>
      <c r="BJ1164" s="147"/>
      <c r="BK1164" s="147"/>
      <c r="BL1164" s="147"/>
      <c r="BM1164" s="147"/>
      <c r="BN1164" s="147"/>
      <c r="BO1164" s="147"/>
      <c r="BP1164" s="147"/>
      <c r="BQ1164" s="147"/>
      <c r="BR1164" s="147"/>
      <c r="BS1164" s="147"/>
      <c r="BT1164" s="147"/>
      <c r="BU1164" s="147"/>
      <c r="BV1164" s="147"/>
      <c r="BW1164" s="147"/>
      <c r="BX1164" s="147"/>
      <c r="BY1164" s="147"/>
      <c r="BZ1164" s="147"/>
      <c r="CA1164" s="147"/>
      <c r="CB1164" s="147"/>
      <c r="CC1164" s="147"/>
      <c r="CD1164" s="147"/>
      <c r="CE1164" s="147"/>
      <c r="CF1164" s="147"/>
      <c r="CG1164" s="147"/>
      <c r="CH1164" s="147"/>
      <c r="CI1164" s="147"/>
      <c r="CJ1164" s="147"/>
      <c r="CK1164" s="147"/>
    </row>
    <row r="1165" spans="1:89">
      <c r="A1165" s="147"/>
      <c r="B1165" s="147"/>
      <c r="C1165" s="147"/>
      <c r="D1165" s="147"/>
      <c r="E1165" s="147"/>
      <c r="F1165" s="147"/>
      <c r="G1165" s="147"/>
      <c r="H1165" s="147"/>
      <c r="I1165" s="147"/>
      <c r="J1165" s="147"/>
      <c r="K1165" s="147"/>
      <c r="L1165" s="147"/>
      <c r="M1165" s="147"/>
      <c r="N1165" s="147"/>
      <c r="O1165" s="158"/>
      <c r="P1165" s="147"/>
      <c r="Q1165" s="147"/>
      <c r="R1165" s="147"/>
      <c r="S1165" s="147"/>
      <c r="T1165" s="147"/>
      <c r="U1165" s="147"/>
      <c r="V1165" s="147"/>
      <c r="W1165" s="147"/>
      <c r="X1165" s="147"/>
      <c r="Y1165" s="147"/>
      <c r="Z1165" s="147"/>
      <c r="AA1165" s="147"/>
      <c r="AB1165" s="147"/>
      <c r="AC1165" s="147"/>
      <c r="AD1165" s="147"/>
      <c r="AE1165" s="147"/>
      <c r="AF1165" s="147"/>
      <c r="AG1165" s="147"/>
      <c r="AH1165" s="147"/>
      <c r="AI1165" s="147"/>
      <c r="AJ1165" s="147"/>
      <c r="AK1165" s="147"/>
      <c r="AL1165" s="147"/>
      <c r="AM1165" s="147"/>
      <c r="AN1165" s="147"/>
      <c r="AO1165" s="147"/>
      <c r="AP1165" s="147"/>
      <c r="AQ1165" s="147"/>
      <c r="AR1165" s="147"/>
      <c r="AS1165" s="147"/>
      <c r="AT1165" s="147"/>
      <c r="AU1165" s="147"/>
      <c r="AV1165" s="147"/>
      <c r="AW1165" s="147"/>
      <c r="AX1165" s="147"/>
      <c r="AY1165" s="147"/>
      <c r="AZ1165" s="147"/>
      <c r="BA1165" s="147"/>
      <c r="BB1165" s="147"/>
      <c r="BC1165" s="147"/>
      <c r="BD1165" s="147"/>
      <c r="BE1165" s="147"/>
      <c r="BF1165" s="147"/>
      <c r="BG1165" s="147"/>
      <c r="BH1165" s="147"/>
      <c r="BI1165" s="147"/>
      <c r="BJ1165" s="147"/>
      <c r="BK1165" s="147"/>
      <c r="BL1165" s="147"/>
      <c r="BM1165" s="147"/>
      <c r="BN1165" s="147"/>
      <c r="BO1165" s="147"/>
      <c r="BP1165" s="147"/>
      <c r="BQ1165" s="147"/>
      <c r="BR1165" s="147"/>
      <c r="BS1165" s="147"/>
      <c r="BT1165" s="147"/>
      <c r="BU1165" s="147"/>
      <c r="BV1165" s="147"/>
      <c r="BW1165" s="147"/>
      <c r="BX1165" s="147"/>
      <c r="BY1165" s="147"/>
      <c r="BZ1165" s="147"/>
      <c r="CA1165" s="147"/>
      <c r="CB1165" s="147"/>
      <c r="CC1165" s="147"/>
      <c r="CD1165" s="147"/>
      <c r="CE1165" s="147"/>
      <c r="CF1165" s="147"/>
      <c r="CG1165" s="147"/>
      <c r="CH1165" s="147"/>
      <c r="CI1165" s="147"/>
      <c r="CJ1165" s="147"/>
      <c r="CK1165" s="147"/>
    </row>
    <row r="1166" spans="1:89">
      <c r="A1166" s="147"/>
      <c r="B1166" s="147"/>
      <c r="C1166" s="147"/>
      <c r="D1166" s="147"/>
      <c r="E1166" s="147"/>
      <c r="F1166" s="147"/>
      <c r="G1166" s="147"/>
      <c r="H1166" s="147"/>
      <c r="I1166" s="147"/>
      <c r="J1166" s="147"/>
      <c r="K1166" s="147"/>
      <c r="L1166" s="147"/>
      <c r="M1166" s="147"/>
      <c r="N1166" s="147"/>
      <c r="O1166" s="158"/>
      <c r="P1166" s="147"/>
      <c r="Q1166" s="147"/>
      <c r="R1166" s="147"/>
      <c r="S1166" s="147"/>
      <c r="T1166" s="147"/>
      <c r="U1166" s="147"/>
      <c r="V1166" s="147"/>
      <c r="W1166" s="147"/>
      <c r="X1166" s="147"/>
      <c r="Y1166" s="147"/>
      <c r="Z1166" s="147"/>
      <c r="AA1166" s="147"/>
      <c r="AB1166" s="147"/>
      <c r="AC1166" s="147"/>
      <c r="AD1166" s="147"/>
      <c r="AE1166" s="147"/>
      <c r="AF1166" s="147"/>
      <c r="AG1166" s="147"/>
      <c r="AH1166" s="147"/>
      <c r="AI1166" s="147"/>
      <c r="AJ1166" s="147"/>
      <c r="AK1166" s="147"/>
      <c r="AL1166" s="147"/>
      <c r="AM1166" s="147"/>
      <c r="AN1166" s="147"/>
      <c r="AO1166" s="147"/>
      <c r="AP1166" s="147"/>
      <c r="AQ1166" s="147"/>
      <c r="AR1166" s="147"/>
      <c r="AS1166" s="147"/>
      <c r="AT1166" s="147"/>
      <c r="AU1166" s="147"/>
      <c r="AV1166" s="147"/>
      <c r="AW1166" s="147"/>
      <c r="AX1166" s="147"/>
      <c r="AY1166" s="147"/>
      <c r="AZ1166" s="147"/>
      <c r="BA1166" s="147"/>
      <c r="BB1166" s="147"/>
      <c r="BC1166" s="147"/>
      <c r="BD1166" s="147"/>
      <c r="BE1166" s="147"/>
      <c r="BF1166" s="147"/>
      <c r="BG1166" s="147"/>
      <c r="BH1166" s="147"/>
      <c r="BI1166" s="147"/>
      <c r="BJ1166" s="147"/>
      <c r="BK1166" s="147"/>
      <c r="BL1166" s="147"/>
      <c r="BM1166" s="147"/>
      <c r="BN1166" s="147"/>
      <c r="BO1166" s="147"/>
      <c r="BP1166" s="147"/>
      <c r="BQ1166" s="147"/>
      <c r="BR1166" s="147"/>
      <c r="BS1166" s="147"/>
      <c r="BT1166" s="147"/>
      <c r="BU1166" s="147"/>
      <c r="BV1166" s="147"/>
      <c r="BW1166" s="147"/>
      <c r="BX1166" s="147"/>
      <c r="BY1166" s="147"/>
      <c r="BZ1166" s="147"/>
      <c r="CA1166" s="147"/>
      <c r="CB1166" s="147"/>
      <c r="CC1166" s="147"/>
      <c r="CD1166" s="147"/>
      <c r="CE1166" s="147"/>
      <c r="CF1166" s="147"/>
      <c r="CG1166" s="147"/>
      <c r="CH1166" s="147"/>
      <c r="CI1166" s="147"/>
      <c r="CJ1166" s="147"/>
      <c r="CK1166" s="147"/>
    </row>
    <row r="1167" spans="1:89">
      <c r="A1167" s="147"/>
      <c r="B1167" s="147"/>
      <c r="C1167" s="147"/>
      <c r="D1167" s="147"/>
      <c r="E1167" s="147"/>
      <c r="F1167" s="147"/>
      <c r="G1167" s="147"/>
      <c r="H1167" s="147"/>
      <c r="I1167" s="147"/>
      <c r="J1167" s="147"/>
      <c r="K1167" s="147"/>
      <c r="L1167" s="147"/>
      <c r="M1167" s="147"/>
      <c r="N1167" s="147"/>
      <c r="O1167" s="158"/>
      <c r="P1167" s="147"/>
      <c r="Q1167" s="147"/>
      <c r="R1167" s="147"/>
      <c r="S1167" s="147"/>
      <c r="T1167" s="147"/>
      <c r="U1167" s="147"/>
      <c r="V1167" s="147"/>
      <c r="W1167" s="147"/>
      <c r="X1167" s="147"/>
      <c r="Y1167" s="147"/>
      <c r="Z1167" s="147"/>
      <c r="AA1167" s="147"/>
      <c r="AB1167" s="147"/>
      <c r="AC1167" s="147"/>
      <c r="AD1167" s="147"/>
      <c r="AE1167" s="147"/>
      <c r="AF1167" s="147"/>
      <c r="AG1167" s="147"/>
      <c r="AH1167" s="147"/>
      <c r="AI1167" s="147"/>
      <c r="AJ1167" s="147"/>
      <c r="AK1167" s="147"/>
      <c r="AL1167" s="147"/>
      <c r="AM1167" s="147"/>
      <c r="AN1167" s="147"/>
      <c r="AO1167" s="147"/>
      <c r="AP1167" s="147"/>
      <c r="AQ1167" s="147"/>
      <c r="AR1167" s="147"/>
      <c r="AS1167" s="147"/>
      <c r="AT1167" s="147"/>
      <c r="AU1167" s="147"/>
      <c r="AV1167" s="147"/>
      <c r="AW1167" s="147"/>
      <c r="AX1167" s="147"/>
      <c r="AY1167" s="147"/>
      <c r="AZ1167" s="147"/>
      <c r="BA1167" s="147"/>
      <c r="BB1167" s="147"/>
      <c r="BC1167" s="147"/>
      <c r="BD1167" s="147"/>
      <c r="BE1167" s="147"/>
      <c r="BF1167" s="147"/>
      <c r="BG1167" s="147"/>
      <c r="BH1167" s="147"/>
      <c r="BI1167" s="147"/>
      <c r="BJ1167" s="147"/>
      <c r="BK1167" s="147"/>
      <c r="BL1167" s="147"/>
      <c r="BM1167" s="147"/>
      <c r="BN1167" s="147"/>
      <c r="BO1167" s="147"/>
      <c r="BP1167" s="147"/>
      <c r="BQ1167" s="147"/>
      <c r="BR1167" s="147"/>
      <c r="BS1167" s="147"/>
      <c r="BT1167" s="147"/>
      <c r="BU1167" s="147"/>
      <c r="BV1167" s="147"/>
      <c r="BW1167" s="147"/>
      <c r="BX1167" s="147"/>
      <c r="BY1167" s="147"/>
      <c r="BZ1167" s="147"/>
      <c r="CA1167" s="147"/>
      <c r="CB1167" s="147"/>
      <c r="CC1167" s="147"/>
      <c r="CD1167" s="147"/>
      <c r="CE1167" s="147"/>
      <c r="CF1167" s="147"/>
      <c r="CG1167" s="147"/>
      <c r="CH1167" s="147"/>
      <c r="CI1167" s="147"/>
      <c r="CJ1167" s="147"/>
      <c r="CK1167" s="147"/>
    </row>
    <row r="1168" spans="1:89">
      <c r="A1168" s="147"/>
      <c r="B1168" s="147"/>
      <c r="C1168" s="147"/>
      <c r="D1168" s="147"/>
      <c r="E1168" s="147"/>
      <c r="F1168" s="147"/>
      <c r="G1168" s="147"/>
      <c r="H1168" s="147"/>
      <c r="I1168" s="147"/>
      <c r="J1168" s="147"/>
      <c r="K1168" s="147"/>
      <c r="L1168" s="147"/>
      <c r="M1168" s="147"/>
      <c r="N1168" s="147"/>
      <c r="O1168" s="158"/>
      <c r="P1168" s="147"/>
      <c r="Q1168" s="147"/>
      <c r="R1168" s="147"/>
      <c r="S1168" s="147"/>
      <c r="T1168" s="147"/>
      <c r="U1168" s="147"/>
      <c r="V1168" s="147"/>
      <c r="W1168" s="147"/>
      <c r="X1168" s="147"/>
      <c r="Y1168" s="147"/>
      <c r="Z1168" s="147"/>
      <c r="AA1168" s="147"/>
      <c r="AB1168" s="147"/>
      <c r="AC1168" s="147"/>
      <c r="AD1168" s="147"/>
      <c r="AE1168" s="147"/>
      <c r="AF1168" s="147"/>
      <c r="AG1168" s="147"/>
      <c r="AH1168" s="147"/>
      <c r="AI1168" s="147"/>
      <c r="AJ1168" s="147"/>
      <c r="AK1168" s="147"/>
      <c r="AL1168" s="147"/>
      <c r="AM1168" s="147"/>
      <c r="AN1168" s="147"/>
      <c r="AO1168" s="147"/>
      <c r="AP1168" s="147"/>
      <c r="AQ1168" s="147"/>
      <c r="AR1168" s="147"/>
      <c r="AS1168" s="147"/>
      <c r="AT1168" s="147"/>
      <c r="AU1168" s="147"/>
      <c r="AV1168" s="147"/>
      <c r="AW1168" s="147"/>
      <c r="AX1168" s="147"/>
      <c r="AY1168" s="147"/>
      <c r="AZ1168" s="147"/>
      <c r="BA1168" s="147"/>
      <c r="BB1168" s="147"/>
      <c r="BC1168" s="147"/>
      <c r="BD1168" s="147"/>
      <c r="BE1168" s="147"/>
      <c r="BF1168" s="147"/>
      <c r="BG1168" s="147"/>
      <c r="BH1168" s="147"/>
      <c r="BI1168" s="147"/>
      <c r="BJ1168" s="147"/>
      <c r="BK1168" s="147"/>
      <c r="BL1168" s="147"/>
      <c r="BM1168" s="147"/>
      <c r="BN1168" s="147"/>
      <c r="BO1168" s="147"/>
      <c r="BP1168" s="147"/>
      <c r="BQ1168" s="147"/>
      <c r="BR1168" s="147"/>
      <c r="BS1168" s="147"/>
      <c r="BT1168" s="147"/>
      <c r="BU1168" s="147"/>
      <c r="BV1168" s="147"/>
      <c r="BW1168" s="147"/>
      <c r="BX1168" s="147"/>
      <c r="BY1168" s="147"/>
      <c r="BZ1168" s="147"/>
      <c r="CA1168" s="147"/>
      <c r="CB1168" s="147"/>
      <c r="CC1168" s="147"/>
      <c r="CD1168" s="147"/>
      <c r="CE1168" s="147"/>
      <c r="CF1168" s="147"/>
      <c r="CG1168" s="147"/>
      <c r="CH1168" s="147"/>
      <c r="CI1168" s="147"/>
      <c r="CJ1168" s="147"/>
      <c r="CK1168" s="147"/>
    </row>
    <row r="1169" spans="1:89">
      <c r="A1169" s="147"/>
      <c r="B1169" s="147"/>
      <c r="C1169" s="147"/>
      <c r="D1169" s="147"/>
      <c r="E1169" s="147"/>
      <c r="F1169" s="147"/>
      <c r="G1169" s="147"/>
      <c r="H1169" s="147"/>
      <c r="I1169" s="147"/>
      <c r="J1169" s="147"/>
      <c r="K1169" s="147"/>
      <c r="L1169" s="147"/>
      <c r="M1169" s="147"/>
      <c r="N1169" s="147"/>
      <c r="O1169" s="158"/>
      <c r="P1169" s="147"/>
      <c r="Q1169" s="147"/>
      <c r="R1169" s="147"/>
      <c r="S1169" s="147"/>
      <c r="T1169" s="147"/>
      <c r="U1169" s="147"/>
      <c r="V1169" s="147"/>
      <c r="W1169" s="147"/>
      <c r="X1169" s="147"/>
      <c r="Y1169" s="147"/>
      <c r="Z1169" s="147"/>
      <c r="AA1169" s="147"/>
      <c r="AB1169" s="147"/>
      <c r="AC1169" s="147"/>
      <c r="AD1169" s="147"/>
      <c r="AE1169" s="147"/>
      <c r="AF1169" s="147"/>
      <c r="AG1169" s="147"/>
      <c r="AH1169" s="147"/>
      <c r="AI1169" s="147"/>
      <c r="AJ1169" s="147"/>
      <c r="AK1169" s="147"/>
      <c r="AL1169" s="147"/>
      <c r="AM1169" s="147"/>
      <c r="AN1169" s="147"/>
      <c r="AO1169" s="147"/>
      <c r="AP1169" s="147"/>
      <c r="AQ1169" s="147"/>
      <c r="AR1169" s="147"/>
      <c r="AS1169" s="147"/>
      <c r="AT1169" s="147"/>
      <c r="AU1169" s="147"/>
      <c r="AV1169" s="147"/>
      <c r="AW1169" s="147"/>
      <c r="AX1169" s="147"/>
      <c r="AY1169" s="147"/>
      <c r="AZ1169" s="147"/>
      <c r="BA1169" s="147"/>
      <c r="BB1169" s="147"/>
      <c r="BC1169" s="147"/>
      <c r="BD1169" s="147"/>
      <c r="BE1169" s="147"/>
      <c r="BF1169" s="147"/>
      <c r="BG1169" s="147"/>
      <c r="BH1169" s="147"/>
      <c r="BI1169" s="147"/>
      <c r="BJ1169" s="147"/>
      <c r="BK1169" s="147"/>
      <c r="BL1169" s="147"/>
      <c r="BM1169" s="147"/>
      <c r="BN1169" s="147"/>
      <c r="BO1169" s="147"/>
      <c r="BP1169" s="147"/>
      <c r="BQ1169" s="147"/>
      <c r="BR1169" s="147"/>
      <c r="BS1169" s="147"/>
      <c r="BT1169" s="147"/>
      <c r="BU1169" s="147"/>
      <c r="BV1169" s="147"/>
      <c r="BW1169" s="147"/>
      <c r="BX1169" s="147"/>
      <c r="BY1169" s="147"/>
      <c r="BZ1169" s="147"/>
      <c r="CA1169" s="147"/>
      <c r="CB1169" s="147"/>
      <c r="CC1169" s="147"/>
      <c r="CD1169" s="147"/>
      <c r="CE1169" s="147"/>
      <c r="CF1169" s="147"/>
      <c r="CG1169" s="147"/>
      <c r="CH1169" s="147"/>
      <c r="CI1169" s="147"/>
      <c r="CJ1169" s="147"/>
      <c r="CK1169" s="147"/>
    </row>
    <row r="1170" spans="1:89">
      <c r="A1170" s="147"/>
      <c r="B1170" s="147"/>
      <c r="C1170" s="147"/>
      <c r="D1170" s="147"/>
      <c r="E1170" s="147"/>
      <c r="F1170" s="147"/>
      <c r="G1170" s="147"/>
      <c r="H1170" s="147"/>
      <c r="I1170" s="147"/>
      <c r="J1170" s="147"/>
      <c r="K1170" s="147"/>
      <c r="L1170" s="147"/>
      <c r="M1170" s="147"/>
      <c r="N1170" s="147"/>
      <c r="O1170" s="158"/>
      <c r="P1170" s="147"/>
      <c r="Q1170" s="147"/>
      <c r="R1170" s="147"/>
      <c r="S1170" s="147"/>
      <c r="T1170" s="147"/>
      <c r="U1170" s="147"/>
      <c r="V1170" s="147"/>
      <c r="W1170" s="147"/>
      <c r="X1170" s="147"/>
      <c r="Y1170" s="147"/>
      <c r="Z1170" s="147"/>
      <c r="AA1170" s="147"/>
      <c r="AB1170" s="147"/>
      <c r="AC1170" s="147"/>
      <c r="AD1170" s="147"/>
      <c r="AE1170" s="147"/>
      <c r="AF1170" s="147"/>
      <c r="AG1170" s="147"/>
      <c r="AH1170" s="147"/>
      <c r="AI1170" s="147"/>
      <c r="AJ1170" s="147"/>
      <c r="AK1170" s="147"/>
      <c r="AL1170" s="147"/>
      <c r="AM1170" s="147"/>
      <c r="AN1170" s="147"/>
      <c r="AO1170" s="147"/>
      <c r="AP1170" s="147"/>
      <c r="AQ1170" s="147"/>
      <c r="AR1170" s="147"/>
      <c r="AS1170" s="147"/>
      <c r="AT1170" s="147"/>
      <c r="AU1170" s="147"/>
      <c r="AV1170" s="147"/>
      <c r="AW1170" s="147"/>
      <c r="AX1170" s="147"/>
      <c r="AY1170" s="147"/>
      <c r="AZ1170" s="147"/>
      <c r="BA1170" s="147"/>
      <c r="BB1170" s="147"/>
      <c r="BC1170" s="147"/>
      <c r="BD1170" s="147"/>
      <c r="BE1170" s="147"/>
      <c r="BF1170" s="147"/>
      <c r="BG1170" s="147"/>
      <c r="BH1170" s="147"/>
      <c r="BI1170" s="147"/>
      <c r="BJ1170" s="147"/>
      <c r="BK1170" s="147"/>
      <c r="BL1170" s="147"/>
      <c r="BM1170" s="147"/>
      <c r="BN1170" s="147"/>
      <c r="BO1170" s="147"/>
      <c r="BP1170" s="147"/>
      <c r="BQ1170" s="147"/>
      <c r="BR1170" s="147"/>
      <c r="BS1170" s="147"/>
      <c r="BT1170" s="147"/>
      <c r="BU1170" s="147"/>
      <c r="BV1170" s="147"/>
      <c r="BW1170" s="147"/>
      <c r="BX1170" s="147"/>
      <c r="BY1170" s="147"/>
      <c r="BZ1170" s="147"/>
      <c r="CA1170" s="147"/>
      <c r="CB1170" s="147"/>
      <c r="CC1170" s="147"/>
      <c r="CD1170" s="147"/>
      <c r="CE1170" s="147"/>
      <c r="CF1170" s="147"/>
      <c r="CG1170" s="147"/>
      <c r="CH1170" s="147"/>
      <c r="CI1170" s="147"/>
      <c r="CJ1170" s="147"/>
      <c r="CK1170" s="147"/>
    </row>
    <row r="1171" spans="1:89">
      <c r="A1171" s="147"/>
      <c r="B1171" s="147"/>
      <c r="C1171" s="147"/>
      <c r="D1171" s="147"/>
      <c r="E1171" s="147"/>
      <c r="F1171" s="147"/>
      <c r="G1171" s="147"/>
      <c r="H1171" s="147"/>
      <c r="I1171" s="147"/>
      <c r="J1171" s="147"/>
      <c r="K1171" s="147"/>
      <c r="L1171" s="147"/>
      <c r="M1171" s="147"/>
      <c r="N1171" s="147"/>
      <c r="O1171" s="158"/>
      <c r="P1171" s="147"/>
      <c r="Q1171" s="147"/>
      <c r="R1171" s="147"/>
      <c r="S1171" s="147"/>
      <c r="T1171" s="147"/>
      <c r="U1171" s="147"/>
      <c r="V1171" s="147"/>
      <c r="W1171" s="147"/>
      <c r="X1171" s="147"/>
      <c r="Y1171" s="147"/>
      <c r="Z1171" s="147"/>
      <c r="AA1171" s="147"/>
      <c r="AB1171" s="147"/>
      <c r="AC1171" s="147"/>
      <c r="AD1171" s="147"/>
      <c r="AE1171" s="147"/>
      <c r="AF1171" s="147"/>
      <c r="AG1171" s="147"/>
      <c r="AH1171" s="147"/>
      <c r="AI1171" s="147"/>
      <c r="AJ1171" s="147"/>
      <c r="AK1171" s="147"/>
      <c r="AL1171" s="147"/>
      <c r="AM1171" s="147"/>
      <c r="AN1171" s="147"/>
      <c r="AO1171" s="147"/>
      <c r="AP1171" s="147"/>
      <c r="AQ1171" s="147"/>
      <c r="AR1171" s="147"/>
      <c r="AS1171" s="147"/>
      <c r="AT1171" s="147"/>
      <c r="AU1171" s="147"/>
      <c r="AV1171" s="147"/>
      <c r="AW1171" s="147"/>
      <c r="AX1171" s="147"/>
      <c r="AY1171" s="147"/>
      <c r="AZ1171" s="147"/>
      <c r="BA1171" s="147"/>
      <c r="BB1171" s="147"/>
      <c r="BC1171" s="147"/>
      <c r="BD1171" s="147"/>
      <c r="BE1171" s="147"/>
      <c r="BF1171" s="147"/>
      <c r="BG1171" s="147"/>
      <c r="BH1171" s="147"/>
      <c r="BI1171" s="147"/>
      <c r="BJ1171" s="147"/>
      <c r="BK1171" s="147"/>
      <c r="BL1171" s="147"/>
      <c r="BM1171" s="147"/>
      <c r="BN1171" s="147"/>
      <c r="BO1171" s="147"/>
      <c r="BP1171" s="147"/>
      <c r="BQ1171" s="147"/>
      <c r="BR1171" s="147"/>
      <c r="BS1171" s="147"/>
      <c r="BT1171" s="147"/>
      <c r="BU1171" s="147"/>
      <c r="BV1171" s="147"/>
      <c r="BW1171" s="147"/>
      <c r="BX1171" s="147"/>
      <c r="BY1171" s="147"/>
      <c r="BZ1171" s="147"/>
      <c r="CA1171" s="147"/>
      <c r="CB1171" s="147"/>
      <c r="CC1171" s="147"/>
      <c r="CD1171" s="147"/>
      <c r="CE1171" s="147"/>
      <c r="CF1171" s="147"/>
      <c r="CG1171" s="147"/>
      <c r="CH1171" s="147"/>
      <c r="CI1171" s="147"/>
      <c r="CJ1171" s="147"/>
      <c r="CK1171" s="147"/>
    </row>
    <row r="1172" spans="1:89">
      <c r="A1172" s="147"/>
      <c r="B1172" s="147"/>
      <c r="C1172" s="147"/>
      <c r="D1172" s="147"/>
      <c r="E1172" s="147"/>
      <c r="F1172" s="147"/>
      <c r="G1172" s="147"/>
      <c r="H1172" s="147"/>
      <c r="I1172" s="147"/>
      <c r="J1172" s="147"/>
      <c r="K1172" s="147"/>
      <c r="L1172" s="147"/>
      <c r="M1172" s="147"/>
      <c r="N1172" s="147"/>
      <c r="O1172" s="158"/>
      <c r="P1172" s="147"/>
      <c r="Q1172" s="147"/>
      <c r="R1172" s="147"/>
      <c r="S1172" s="147"/>
      <c r="T1172" s="147"/>
      <c r="U1172" s="147"/>
      <c r="V1172" s="147"/>
      <c r="W1172" s="147"/>
      <c r="X1172" s="147"/>
      <c r="Y1172" s="147"/>
      <c r="Z1172" s="147"/>
      <c r="AA1172" s="147"/>
      <c r="AB1172" s="147"/>
      <c r="AC1172" s="147"/>
      <c r="AD1172" s="147"/>
      <c r="AE1172" s="147"/>
      <c r="AF1172" s="147"/>
      <c r="AG1172" s="147"/>
      <c r="AH1172" s="147"/>
      <c r="AI1172" s="147"/>
      <c r="AJ1172" s="147"/>
      <c r="AK1172" s="147"/>
      <c r="AL1172" s="147"/>
      <c r="AM1172" s="147"/>
      <c r="AN1172" s="147"/>
      <c r="AO1172" s="147"/>
      <c r="AP1172" s="147"/>
      <c r="AQ1172" s="147"/>
      <c r="AR1172" s="147"/>
      <c r="AS1172" s="147"/>
      <c r="AT1172" s="147"/>
      <c r="AU1172" s="147"/>
      <c r="AV1172" s="147"/>
      <c r="AW1172" s="147"/>
      <c r="AX1172" s="147"/>
      <c r="AY1172" s="147"/>
      <c r="AZ1172" s="147"/>
      <c r="BA1172" s="147"/>
      <c r="BB1172" s="147"/>
      <c r="BC1172" s="147"/>
      <c r="BD1172" s="147"/>
      <c r="BE1172" s="147"/>
      <c r="BF1172" s="147"/>
      <c r="BG1172" s="147"/>
      <c r="BH1172" s="147"/>
      <c r="BI1172" s="147"/>
      <c r="BJ1172" s="147"/>
      <c r="BK1172" s="147"/>
      <c r="BL1172" s="147"/>
      <c r="BM1172" s="147"/>
      <c r="BN1172" s="147"/>
      <c r="BO1172" s="147"/>
      <c r="BP1172" s="147"/>
      <c r="BQ1172" s="147"/>
      <c r="BR1172" s="147"/>
      <c r="BS1172" s="147"/>
      <c r="BT1172" s="147"/>
      <c r="BU1172" s="147"/>
      <c r="BV1172" s="147"/>
      <c r="BW1172" s="147"/>
      <c r="BX1172" s="147"/>
      <c r="BY1172" s="147"/>
      <c r="BZ1172" s="147"/>
      <c r="CA1172" s="147"/>
      <c r="CB1172" s="147"/>
      <c r="CC1172" s="147"/>
      <c r="CD1172" s="147"/>
      <c r="CE1172" s="147"/>
      <c r="CF1172" s="147"/>
      <c r="CG1172" s="147"/>
      <c r="CH1172" s="147"/>
      <c r="CI1172" s="147"/>
      <c r="CJ1172" s="147"/>
      <c r="CK1172" s="147"/>
    </row>
    <row r="1173" spans="1:89">
      <c r="A1173" s="147"/>
      <c r="B1173" s="147"/>
      <c r="C1173" s="147"/>
      <c r="D1173" s="147"/>
      <c r="E1173" s="147"/>
      <c r="F1173" s="147"/>
      <c r="G1173" s="147"/>
      <c r="H1173" s="147"/>
      <c r="I1173" s="147"/>
      <c r="J1173" s="147"/>
      <c r="K1173" s="147"/>
      <c r="L1173" s="147"/>
      <c r="M1173" s="147"/>
      <c r="N1173" s="147"/>
      <c r="O1173" s="158"/>
      <c r="P1173" s="147"/>
      <c r="Q1173" s="147"/>
      <c r="R1173" s="147"/>
      <c r="S1173" s="147"/>
      <c r="T1173" s="147"/>
      <c r="U1173" s="147"/>
      <c r="V1173" s="147"/>
      <c r="W1173" s="147"/>
      <c r="X1173" s="147"/>
      <c r="Y1173" s="147"/>
      <c r="Z1173" s="147"/>
      <c r="AA1173" s="147"/>
      <c r="AB1173" s="147"/>
      <c r="AC1173" s="147"/>
      <c r="AD1173" s="147"/>
      <c r="AE1173" s="147"/>
      <c r="AF1173" s="147"/>
      <c r="AG1173" s="147"/>
      <c r="AH1173" s="147"/>
      <c r="AI1173" s="147"/>
      <c r="AJ1173" s="147"/>
      <c r="AK1173" s="147"/>
      <c r="AL1173" s="147"/>
      <c r="AM1173" s="147"/>
      <c r="AN1173" s="147"/>
      <c r="AO1173" s="147"/>
      <c r="AP1173" s="147"/>
      <c r="AQ1173" s="147"/>
      <c r="AR1173" s="147"/>
      <c r="AS1173" s="147"/>
      <c r="AT1173" s="147"/>
      <c r="AU1173" s="147"/>
      <c r="AV1173" s="147"/>
      <c r="AW1173" s="147"/>
      <c r="AX1173" s="147"/>
      <c r="AY1173" s="147"/>
      <c r="AZ1173" s="147"/>
      <c r="BA1173" s="147"/>
      <c r="BB1173" s="147"/>
      <c r="BC1173" s="147"/>
      <c r="BD1173" s="147"/>
      <c r="BE1173" s="147"/>
      <c r="BF1173" s="147"/>
      <c r="BG1173" s="147"/>
      <c r="BH1173" s="147"/>
      <c r="BI1173" s="147"/>
      <c r="BJ1173" s="147"/>
      <c r="BK1173" s="147"/>
      <c r="BL1173" s="147"/>
      <c r="BM1173" s="147"/>
      <c r="BN1173" s="147"/>
      <c r="BO1173" s="147"/>
      <c r="BP1173" s="147"/>
      <c r="BQ1173" s="147"/>
      <c r="BR1173" s="147"/>
      <c r="BS1173" s="147"/>
      <c r="BT1173" s="147"/>
      <c r="BU1173" s="147"/>
      <c r="BV1173" s="147"/>
      <c r="BW1173" s="147"/>
      <c r="BX1173" s="147"/>
      <c r="BY1173" s="147"/>
      <c r="BZ1173" s="147"/>
      <c r="CA1173" s="147"/>
      <c r="CB1173" s="147"/>
      <c r="CC1173" s="147"/>
      <c r="CD1173" s="147"/>
      <c r="CE1173" s="147"/>
      <c r="CF1173" s="147"/>
      <c r="CG1173" s="147"/>
      <c r="CH1173" s="147"/>
      <c r="CI1173" s="147"/>
      <c r="CJ1173" s="147"/>
      <c r="CK1173" s="147"/>
    </row>
    <row r="1174" spans="1:89">
      <c r="A1174" s="147"/>
      <c r="B1174" s="147"/>
      <c r="C1174" s="147"/>
      <c r="D1174" s="147"/>
      <c r="E1174" s="147"/>
      <c r="F1174" s="147"/>
      <c r="G1174" s="147"/>
      <c r="H1174" s="147"/>
      <c r="I1174" s="147"/>
      <c r="J1174" s="147"/>
      <c r="K1174" s="147"/>
      <c r="L1174" s="147"/>
      <c r="M1174" s="147"/>
      <c r="N1174" s="147"/>
      <c r="O1174" s="158"/>
      <c r="P1174" s="147"/>
      <c r="Q1174" s="147"/>
      <c r="R1174" s="147"/>
      <c r="S1174" s="147"/>
      <c r="T1174" s="147"/>
      <c r="U1174" s="147"/>
      <c r="V1174" s="147"/>
      <c r="W1174" s="147"/>
      <c r="X1174" s="147"/>
      <c r="Y1174" s="147"/>
      <c r="Z1174" s="147"/>
      <c r="AA1174" s="147"/>
      <c r="AB1174" s="147"/>
      <c r="AC1174" s="147"/>
      <c r="AD1174" s="147"/>
      <c r="AE1174" s="147"/>
      <c r="AF1174" s="147"/>
      <c r="AG1174" s="147"/>
      <c r="AH1174" s="147"/>
      <c r="AI1174" s="147"/>
      <c r="AJ1174" s="147"/>
      <c r="AK1174" s="147"/>
      <c r="AL1174" s="147"/>
      <c r="AM1174" s="147"/>
      <c r="AN1174" s="147"/>
      <c r="AO1174" s="147"/>
      <c r="AP1174" s="147"/>
      <c r="AQ1174" s="147"/>
      <c r="AR1174" s="147"/>
      <c r="AS1174" s="147"/>
      <c r="AT1174" s="147"/>
      <c r="AU1174" s="147"/>
      <c r="AV1174" s="147"/>
      <c r="AW1174" s="147"/>
      <c r="AX1174" s="147"/>
      <c r="AY1174" s="147"/>
      <c r="AZ1174" s="147"/>
      <c r="BA1174" s="147"/>
      <c r="BB1174" s="147"/>
      <c r="BC1174" s="147"/>
      <c r="BD1174" s="147"/>
      <c r="BE1174" s="147"/>
      <c r="BF1174" s="147"/>
      <c r="BG1174" s="147"/>
      <c r="BH1174" s="147"/>
      <c r="BI1174" s="147"/>
      <c r="BJ1174" s="147"/>
      <c r="BK1174" s="147"/>
      <c r="BL1174" s="147"/>
      <c r="BM1174" s="147"/>
      <c r="BN1174" s="147"/>
      <c r="BO1174" s="147"/>
      <c r="BP1174" s="147"/>
      <c r="BQ1174" s="147"/>
      <c r="BR1174" s="147"/>
      <c r="BS1174" s="147"/>
      <c r="BT1174" s="147"/>
      <c r="BU1174" s="147"/>
      <c r="BV1174" s="147"/>
      <c r="BW1174" s="147"/>
      <c r="BX1174" s="147"/>
      <c r="BY1174" s="147"/>
      <c r="BZ1174" s="147"/>
      <c r="CA1174" s="147"/>
      <c r="CB1174" s="147"/>
      <c r="CC1174" s="147"/>
      <c r="CD1174" s="147"/>
      <c r="CE1174" s="147"/>
      <c r="CF1174" s="147"/>
      <c r="CG1174" s="147"/>
      <c r="CH1174" s="147"/>
      <c r="CI1174" s="147"/>
      <c r="CJ1174" s="147"/>
      <c r="CK1174" s="147"/>
    </row>
    <row r="1175" spans="1:89">
      <c r="A1175" s="147"/>
      <c r="B1175" s="147"/>
      <c r="C1175" s="147"/>
      <c r="D1175" s="147"/>
      <c r="E1175" s="147"/>
      <c r="F1175" s="147"/>
      <c r="G1175" s="147"/>
      <c r="H1175" s="147"/>
      <c r="I1175" s="147"/>
      <c r="J1175" s="147"/>
      <c r="K1175" s="147"/>
      <c r="L1175" s="147"/>
      <c r="M1175" s="147"/>
      <c r="N1175" s="147"/>
      <c r="O1175" s="158"/>
      <c r="P1175" s="147"/>
      <c r="Q1175" s="147"/>
      <c r="R1175" s="147"/>
      <c r="S1175" s="147"/>
      <c r="T1175" s="147"/>
      <c r="U1175" s="147"/>
      <c r="V1175" s="147"/>
      <c r="W1175" s="147"/>
      <c r="X1175" s="147"/>
      <c r="Y1175" s="147"/>
      <c r="Z1175" s="147"/>
      <c r="AA1175" s="147"/>
      <c r="AB1175" s="147"/>
      <c r="AC1175" s="147"/>
      <c r="AD1175" s="147"/>
      <c r="AE1175" s="147"/>
      <c r="AF1175" s="147"/>
      <c r="AG1175" s="147"/>
      <c r="AH1175" s="147"/>
      <c r="AI1175" s="147"/>
      <c r="AJ1175" s="147"/>
      <c r="AK1175" s="147"/>
      <c r="AL1175" s="147"/>
      <c r="AM1175" s="147"/>
      <c r="AN1175" s="147"/>
      <c r="AO1175" s="147"/>
      <c r="AP1175" s="147"/>
      <c r="AQ1175" s="147"/>
      <c r="AR1175" s="147"/>
      <c r="AS1175" s="147"/>
      <c r="AT1175" s="147"/>
      <c r="AU1175" s="147"/>
      <c r="AV1175" s="147"/>
      <c r="AW1175" s="147"/>
      <c r="AX1175" s="147"/>
      <c r="AY1175" s="147"/>
      <c r="AZ1175" s="147"/>
      <c r="BA1175" s="147"/>
      <c r="BB1175" s="147"/>
      <c r="BC1175" s="147"/>
      <c r="BD1175" s="147"/>
      <c r="BE1175" s="147"/>
      <c r="BF1175" s="147"/>
      <c r="BG1175" s="147"/>
      <c r="BH1175" s="147"/>
      <c r="BI1175" s="147"/>
      <c r="BJ1175" s="147"/>
      <c r="BK1175" s="147"/>
      <c r="BL1175" s="147"/>
      <c r="BM1175" s="147"/>
      <c r="BN1175" s="147"/>
      <c r="BO1175" s="147"/>
      <c r="BP1175" s="147"/>
      <c r="BQ1175" s="147"/>
      <c r="BR1175" s="147"/>
      <c r="BS1175" s="147"/>
      <c r="BT1175" s="147"/>
      <c r="BU1175" s="147"/>
      <c r="BV1175" s="147"/>
      <c r="BW1175" s="147"/>
      <c r="BX1175" s="147"/>
      <c r="BY1175" s="147"/>
      <c r="BZ1175" s="147"/>
      <c r="CA1175" s="147"/>
      <c r="CB1175" s="147"/>
      <c r="CC1175" s="147"/>
      <c r="CD1175" s="147"/>
      <c r="CE1175" s="147"/>
      <c r="CF1175" s="147"/>
      <c r="CG1175" s="147"/>
      <c r="CH1175" s="147"/>
      <c r="CI1175" s="147"/>
      <c r="CJ1175" s="147"/>
      <c r="CK1175" s="147"/>
    </row>
    <row r="1176" spans="1:89">
      <c r="A1176" s="147"/>
      <c r="B1176" s="147"/>
      <c r="C1176" s="147"/>
      <c r="D1176" s="147"/>
      <c r="E1176" s="147"/>
      <c r="F1176" s="147"/>
      <c r="G1176" s="147"/>
      <c r="H1176" s="147"/>
      <c r="I1176" s="147"/>
      <c r="J1176" s="147"/>
      <c r="K1176" s="147"/>
      <c r="L1176" s="147"/>
      <c r="M1176" s="147"/>
      <c r="N1176" s="147"/>
      <c r="O1176" s="158"/>
      <c r="P1176" s="147"/>
      <c r="Q1176" s="147"/>
      <c r="R1176" s="147"/>
      <c r="S1176" s="147"/>
      <c r="T1176" s="147"/>
      <c r="U1176" s="147"/>
      <c r="V1176" s="147"/>
      <c r="W1176" s="147"/>
      <c r="X1176" s="147"/>
      <c r="Y1176" s="147"/>
      <c r="Z1176" s="147"/>
      <c r="AA1176" s="147"/>
      <c r="AB1176" s="147"/>
      <c r="AC1176" s="147"/>
      <c r="AD1176" s="147"/>
      <c r="AE1176" s="147"/>
      <c r="AF1176" s="147"/>
      <c r="AG1176" s="147"/>
      <c r="AH1176" s="147"/>
      <c r="AI1176" s="147"/>
      <c r="AJ1176" s="147"/>
      <c r="AK1176" s="147"/>
      <c r="AL1176" s="147"/>
      <c r="AM1176" s="147"/>
      <c r="AN1176" s="147"/>
      <c r="AO1176" s="147"/>
      <c r="AP1176" s="147"/>
      <c r="AQ1176" s="147"/>
      <c r="AR1176" s="147"/>
      <c r="AS1176" s="147"/>
      <c r="AT1176" s="147"/>
      <c r="AU1176" s="147"/>
      <c r="AV1176" s="147"/>
      <c r="AW1176" s="147"/>
      <c r="AX1176" s="147"/>
      <c r="AY1176" s="147"/>
      <c r="AZ1176" s="147"/>
      <c r="BA1176" s="147"/>
      <c r="BB1176" s="147"/>
      <c r="BC1176" s="147"/>
      <c r="BD1176" s="147"/>
      <c r="BE1176" s="147"/>
      <c r="BF1176" s="147"/>
      <c r="BG1176" s="147"/>
      <c r="BH1176" s="147"/>
      <c r="BI1176" s="147"/>
      <c r="BJ1176" s="147"/>
      <c r="BK1176" s="147"/>
      <c r="BL1176" s="147"/>
      <c r="BM1176" s="147"/>
      <c r="BN1176" s="147"/>
      <c r="BO1176" s="147"/>
      <c r="BP1176" s="147"/>
      <c r="BQ1176" s="147"/>
      <c r="BR1176" s="147"/>
      <c r="BS1176" s="147"/>
      <c r="BT1176" s="147"/>
      <c r="BU1176" s="147"/>
      <c r="BV1176" s="147"/>
      <c r="BW1176" s="147"/>
      <c r="BX1176" s="147"/>
      <c r="BY1176" s="147"/>
      <c r="BZ1176" s="147"/>
      <c r="CA1176" s="147"/>
      <c r="CB1176" s="147"/>
      <c r="CC1176" s="147"/>
      <c r="CD1176" s="147"/>
      <c r="CE1176" s="147"/>
      <c r="CF1176" s="147"/>
      <c r="CG1176" s="147"/>
      <c r="CH1176" s="147"/>
      <c r="CI1176" s="147"/>
      <c r="CJ1176" s="147"/>
      <c r="CK1176" s="147"/>
    </row>
    <row r="1177" spans="1:89">
      <c r="A1177" s="147"/>
      <c r="B1177" s="147"/>
      <c r="C1177" s="147"/>
      <c r="D1177" s="147"/>
      <c r="E1177" s="147"/>
      <c r="F1177" s="147"/>
      <c r="G1177" s="147"/>
      <c r="H1177" s="147"/>
      <c r="I1177" s="147"/>
      <c r="J1177" s="147"/>
      <c r="K1177" s="147"/>
      <c r="L1177" s="147"/>
      <c r="M1177" s="147"/>
      <c r="N1177" s="147"/>
      <c r="O1177" s="158"/>
      <c r="P1177" s="147"/>
      <c r="Q1177" s="147"/>
      <c r="R1177" s="147"/>
      <c r="S1177" s="147"/>
      <c r="T1177" s="147"/>
      <c r="U1177" s="147"/>
      <c r="V1177" s="147"/>
      <c r="W1177" s="147"/>
      <c r="X1177" s="147"/>
      <c r="Y1177" s="147"/>
      <c r="Z1177" s="147"/>
      <c r="AA1177" s="147"/>
      <c r="AB1177" s="147"/>
      <c r="AC1177" s="147"/>
      <c r="AD1177" s="147"/>
      <c r="AE1177" s="147"/>
      <c r="AF1177" s="147"/>
      <c r="AG1177" s="147"/>
      <c r="AH1177" s="147"/>
      <c r="AI1177" s="147"/>
      <c r="AJ1177" s="147"/>
      <c r="AK1177" s="147"/>
      <c r="AL1177" s="147"/>
      <c r="AM1177" s="147"/>
      <c r="AN1177" s="147"/>
      <c r="AO1177" s="147"/>
      <c r="AP1177" s="147"/>
      <c r="AQ1177" s="147"/>
      <c r="AR1177" s="147"/>
      <c r="AS1177" s="147"/>
      <c r="AT1177" s="147"/>
      <c r="AU1177" s="147"/>
      <c r="AV1177" s="147"/>
      <c r="AW1177" s="147"/>
      <c r="AX1177" s="147"/>
      <c r="AY1177" s="147"/>
      <c r="AZ1177" s="147"/>
      <c r="BA1177" s="147"/>
      <c r="BB1177" s="147"/>
      <c r="BC1177" s="147"/>
      <c r="BD1177" s="147"/>
      <c r="BE1177" s="147"/>
      <c r="BF1177" s="147"/>
      <c r="BG1177" s="147"/>
      <c r="BH1177" s="147"/>
      <c r="BI1177" s="147"/>
      <c r="BJ1177" s="147"/>
      <c r="BK1177" s="147"/>
      <c r="BL1177" s="147"/>
      <c r="BM1177" s="147"/>
      <c r="BN1177" s="147"/>
      <c r="BO1177" s="147"/>
      <c r="BP1177" s="147"/>
      <c r="BQ1177" s="147"/>
      <c r="BR1177" s="147"/>
      <c r="BS1177" s="147"/>
      <c r="BT1177" s="147"/>
      <c r="BU1177" s="147"/>
      <c r="BV1177" s="147"/>
      <c r="BW1177" s="147"/>
      <c r="BX1177" s="147"/>
      <c r="BY1177" s="147"/>
      <c r="BZ1177" s="147"/>
      <c r="CA1177" s="147"/>
      <c r="CB1177" s="147"/>
      <c r="CC1177" s="147"/>
      <c r="CD1177" s="147"/>
      <c r="CE1177" s="147"/>
      <c r="CF1177" s="147"/>
      <c r="CG1177" s="147"/>
      <c r="CH1177" s="147"/>
      <c r="CI1177" s="147"/>
      <c r="CJ1177" s="147"/>
      <c r="CK1177" s="147"/>
    </row>
    <row r="1178" spans="1:89">
      <c r="A1178" s="147"/>
      <c r="B1178" s="147"/>
      <c r="C1178" s="147"/>
      <c r="D1178" s="147"/>
      <c r="E1178" s="147"/>
      <c r="F1178" s="147"/>
      <c r="G1178" s="147"/>
      <c r="H1178" s="147"/>
      <c r="I1178" s="147"/>
      <c r="J1178" s="147"/>
      <c r="K1178" s="147"/>
      <c r="L1178" s="147"/>
      <c r="M1178" s="147"/>
      <c r="N1178" s="147"/>
      <c r="O1178" s="158"/>
      <c r="P1178" s="147"/>
      <c r="Q1178" s="147"/>
      <c r="R1178" s="147"/>
      <c r="S1178" s="147"/>
      <c r="T1178" s="147"/>
      <c r="U1178" s="147"/>
      <c r="V1178" s="147"/>
      <c r="W1178" s="147"/>
      <c r="X1178" s="147"/>
      <c r="Y1178" s="147"/>
      <c r="Z1178" s="147"/>
      <c r="AA1178" s="147"/>
      <c r="AB1178" s="147"/>
      <c r="AC1178" s="147"/>
      <c r="AD1178" s="147"/>
      <c r="AE1178" s="147"/>
      <c r="AF1178" s="147"/>
      <c r="AG1178" s="147"/>
      <c r="AH1178" s="147"/>
      <c r="AI1178" s="147"/>
      <c r="AJ1178" s="147"/>
      <c r="AK1178" s="147"/>
      <c r="AL1178" s="147"/>
      <c r="AM1178" s="147"/>
      <c r="AN1178" s="147"/>
      <c r="AO1178" s="147"/>
      <c r="AP1178" s="147"/>
      <c r="AQ1178" s="147"/>
      <c r="AR1178" s="147"/>
      <c r="AS1178" s="147"/>
      <c r="AT1178" s="147"/>
      <c r="AU1178" s="147"/>
      <c r="AV1178" s="147"/>
      <c r="AW1178" s="147"/>
      <c r="AX1178" s="147"/>
      <c r="AY1178" s="147"/>
      <c r="AZ1178" s="147"/>
      <c r="BA1178" s="147"/>
      <c r="BB1178" s="147"/>
      <c r="BC1178" s="147"/>
      <c r="BD1178" s="147"/>
      <c r="BE1178" s="147"/>
      <c r="BF1178" s="147"/>
      <c r="BG1178" s="147"/>
      <c r="BH1178" s="147"/>
      <c r="BI1178" s="147"/>
      <c r="BJ1178" s="147"/>
      <c r="BK1178" s="147"/>
      <c r="BL1178" s="147"/>
      <c r="BM1178" s="147"/>
      <c r="BN1178" s="147"/>
      <c r="BO1178" s="147"/>
      <c r="BP1178" s="147"/>
      <c r="BQ1178" s="147"/>
      <c r="BR1178" s="147"/>
      <c r="BS1178" s="147"/>
      <c r="BT1178" s="147"/>
      <c r="BU1178" s="147"/>
      <c r="BV1178" s="147"/>
      <c r="BW1178" s="147"/>
      <c r="BX1178" s="147"/>
      <c r="BY1178" s="147"/>
      <c r="BZ1178" s="147"/>
      <c r="CA1178" s="147"/>
      <c r="CB1178" s="147"/>
      <c r="CC1178" s="147"/>
      <c r="CD1178" s="147"/>
      <c r="CE1178" s="147"/>
      <c r="CF1178" s="147"/>
      <c r="CG1178" s="147"/>
      <c r="CH1178" s="147"/>
      <c r="CI1178" s="147"/>
      <c r="CJ1178" s="147"/>
      <c r="CK1178" s="147"/>
    </row>
    <row r="1179" spans="1:89">
      <c r="A1179" s="147"/>
      <c r="B1179" s="147"/>
      <c r="C1179" s="147"/>
      <c r="D1179" s="147"/>
      <c r="E1179" s="147"/>
      <c r="F1179" s="147"/>
      <c r="G1179" s="147"/>
      <c r="H1179" s="147"/>
      <c r="I1179" s="147"/>
      <c r="J1179" s="147"/>
      <c r="K1179" s="147"/>
      <c r="L1179" s="147"/>
      <c r="M1179" s="147"/>
      <c r="N1179" s="147"/>
      <c r="O1179" s="158"/>
      <c r="P1179" s="147"/>
      <c r="Q1179" s="147"/>
      <c r="R1179" s="147"/>
      <c r="S1179" s="147"/>
      <c r="T1179" s="147"/>
      <c r="U1179" s="147"/>
      <c r="V1179" s="147"/>
      <c r="W1179" s="147"/>
      <c r="X1179" s="147"/>
      <c r="Y1179" s="147"/>
      <c r="Z1179" s="147"/>
      <c r="AA1179" s="147"/>
      <c r="AB1179" s="147"/>
      <c r="AC1179" s="147"/>
      <c r="AD1179" s="147"/>
      <c r="AE1179" s="147"/>
      <c r="AF1179" s="147"/>
      <c r="AG1179" s="147"/>
      <c r="AH1179" s="147"/>
      <c r="AI1179" s="147"/>
      <c r="AJ1179" s="147"/>
      <c r="AK1179" s="147"/>
      <c r="AL1179" s="147"/>
      <c r="AM1179" s="147"/>
      <c r="AN1179" s="147"/>
      <c r="AO1179" s="147"/>
      <c r="AP1179" s="147"/>
      <c r="AQ1179" s="147"/>
      <c r="AR1179" s="147"/>
      <c r="AS1179" s="147"/>
      <c r="AT1179" s="147"/>
      <c r="AU1179" s="147"/>
      <c r="AV1179" s="147"/>
      <c r="AW1179" s="147"/>
      <c r="AX1179" s="147"/>
      <c r="AY1179" s="147"/>
      <c r="AZ1179" s="147"/>
      <c r="BA1179" s="147"/>
      <c r="BB1179" s="147"/>
      <c r="BC1179" s="147"/>
      <c r="BD1179" s="147"/>
      <c r="BE1179" s="147"/>
      <c r="BF1179" s="147"/>
      <c r="BG1179" s="147"/>
      <c r="BH1179" s="147"/>
      <c r="BI1179" s="147"/>
      <c r="BJ1179" s="147"/>
      <c r="BK1179" s="147"/>
      <c r="BL1179" s="147"/>
      <c r="BM1179" s="147"/>
      <c r="BN1179" s="147"/>
      <c r="BO1179" s="147"/>
      <c r="BP1179" s="147"/>
      <c r="BQ1179" s="147"/>
      <c r="BR1179" s="147"/>
      <c r="BS1179" s="147"/>
      <c r="BT1179" s="147"/>
      <c r="BU1179" s="147"/>
      <c r="BV1179" s="147"/>
      <c r="BW1179" s="147"/>
      <c r="BX1179" s="147"/>
      <c r="BY1179" s="147"/>
      <c r="BZ1179" s="147"/>
      <c r="CA1179" s="147"/>
      <c r="CB1179" s="147"/>
      <c r="CC1179" s="147"/>
      <c r="CD1179" s="147"/>
      <c r="CE1179" s="147"/>
      <c r="CF1179" s="147"/>
      <c r="CG1179" s="147"/>
      <c r="CH1179" s="147"/>
      <c r="CI1179" s="147"/>
      <c r="CJ1179" s="147"/>
      <c r="CK1179" s="147"/>
    </row>
    <row r="1180" spans="1:89">
      <c r="A1180" s="147"/>
      <c r="B1180" s="147"/>
      <c r="C1180" s="147"/>
      <c r="D1180" s="147"/>
      <c r="E1180" s="147"/>
      <c r="F1180" s="147"/>
      <c r="G1180" s="147"/>
      <c r="H1180" s="147"/>
      <c r="I1180" s="147"/>
      <c r="J1180" s="147"/>
      <c r="K1180" s="147"/>
      <c r="L1180" s="147"/>
      <c r="M1180" s="147"/>
      <c r="N1180" s="147"/>
      <c r="O1180" s="158"/>
      <c r="P1180" s="147"/>
      <c r="Q1180" s="147"/>
      <c r="R1180" s="147"/>
      <c r="S1180" s="147"/>
      <c r="T1180" s="147"/>
      <c r="U1180" s="147"/>
      <c r="V1180" s="147"/>
      <c r="W1180" s="147"/>
      <c r="X1180" s="147"/>
      <c r="Y1180" s="147"/>
      <c r="Z1180" s="147"/>
      <c r="AA1180" s="147"/>
      <c r="AB1180" s="147"/>
      <c r="AC1180" s="147"/>
      <c r="AD1180" s="147"/>
      <c r="AE1180" s="147"/>
      <c r="AF1180" s="147"/>
      <c r="AG1180" s="147"/>
      <c r="AH1180" s="147"/>
      <c r="AI1180" s="147"/>
      <c r="AJ1180" s="147"/>
      <c r="AK1180" s="147"/>
      <c r="AL1180" s="147"/>
      <c r="AM1180" s="147"/>
      <c r="AN1180" s="147"/>
      <c r="AO1180" s="147"/>
      <c r="AP1180" s="147"/>
      <c r="AQ1180" s="147"/>
      <c r="AR1180" s="147"/>
      <c r="AS1180" s="147"/>
      <c r="AT1180" s="147"/>
      <c r="AU1180" s="147"/>
      <c r="AV1180" s="147"/>
      <c r="AW1180" s="147"/>
      <c r="AX1180" s="147"/>
      <c r="AY1180" s="147"/>
      <c r="AZ1180" s="147"/>
      <c r="BA1180" s="147"/>
      <c r="BB1180" s="147"/>
      <c r="BC1180" s="147"/>
      <c r="BD1180" s="147"/>
      <c r="BE1180" s="147"/>
      <c r="BF1180" s="147"/>
      <c r="BG1180" s="147"/>
      <c r="BH1180" s="147"/>
      <c r="BI1180" s="147"/>
      <c r="BJ1180" s="147"/>
      <c r="BK1180" s="147"/>
      <c r="BL1180" s="147"/>
      <c r="BM1180" s="147"/>
      <c r="BN1180" s="147"/>
      <c r="BO1180" s="147"/>
      <c r="BP1180" s="147"/>
      <c r="BQ1180" s="147"/>
      <c r="BR1180" s="147"/>
      <c r="BS1180" s="147"/>
      <c r="BT1180" s="147"/>
      <c r="BU1180" s="147"/>
      <c r="BV1180" s="147"/>
      <c r="BW1180" s="147"/>
      <c r="BX1180" s="147"/>
      <c r="BY1180" s="147"/>
      <c r="BZ1180" s="147"/>
      <c r="CA1180" s="147"/>
      <c r="CB1180" s="147"/>
      <c r="CC1180" s="147"/>
      <c r="CD1180" s="147"/>
      <c r="CE1180" s="147"/>
      <c r="CF1180" s="147"/>
      <c r="CG1180" s="147"/>
      <c r="CH1180" s="147"/>
      <c r="CI1180" s="147"/>
      <c r="CJ1180" s="147"/>
      <c r="CK1180" s="147"/>
    </row>
    <row r="1181" spans="1:89">
      <c r="A1181" s="147"/>
      <c r="B1181" s="147"/>
      <c r="C1181" s="147"/>
      <c r="D1181" s="147"/>
      <c r="E1181" s="147"/>
      <c r="F1181" s="147"/>
      <c r="G1181" s="147"/>
      <c r="H1181" s="147"/>
      <c r="I1181" s="147"/>
      <c r="J1181" s="147"/>
      <c r="K1181" s="147"/>
      <c r="L1181" s="147"/>
      <c r="M1181" s="147"/>
      <c r="N1181" s="147"/>
      <c r="O1181" s="158"/>
      <c r="P1181" s="147"/>
      <c r="Q1181" s="147"/>
      <c r="R1181" s="147"/>
      <c r="S1181" s="147"/>
      <c r="T1181" s="147"/>
      <c r="U1181" s="147"/>
      <c r="V1181" s="147"/>
      <c r="W1181" s="147"/>
      <c r="X1181" s="147"/>
      <c r="Y1181" s="147"/>
      <c r="Z1181" s="147"/>
      <c r="AA1181" s="147"/>
      <c r="AB1181" s="147"/>
      <c r="AC1181" s="147"/>
      <c r="AD1181" s="147"/>
      <c r="AE1181" s="147"/>
      <c r="AF1181" s="147"/>
      <c r="AG1181" s="147"/>
      <c r="AH1181" s="147"/>
      <c r="AI1181" s="147"/>
      <c r="AJ1181" s="147"/>
      <c r="AK1181" s="147"/>
      <c r="AL1181" s="147"/>
      <c r="AM1181" s="147"/>
      <c r="AN1181" s="147"/>
      <c r="AO1181" s="147"/>
      <c r="AP1181" s="147"/>
      <c r="AQ1181" s="147"/>
      <c r="AR1181" s="147"/>
      <c r="AS1181" s="147"/>
      <c r="AT1181" s="147"/>
      <c r="AU1181" s="147"/>
      <c r="AV1181" s="147"/>
      <c r="AW1181" s="147"/>
      <c r="AX1181" s="147"/>
      <c r="AY1181" s="147"/>
      <c r="AZ1181" s="147"/>
      <c r="BA1181" s="147"/>
      <c r="BB1181" s="147"/>
      <c r="BC1181" s="147"/>
      <c r="BD1181" s="147"/>
      <c r="BE1181" s="147"/>
      <c r="BF1181" s="147"/>
      <c r="BG1181" s="147"/>
      <c r="BH1181" s="147"/>
      <c r="BI1181" s="147"/>
      <c r="BJ1181" s="147"/>
      <c r="BK1181" s="147"/>
      <c r="BL1181" s="147"/>
      <c r="BM1181" s="147"/>
      <c r="BN1181" s="147"/>
      <c r="BO1181" s="147"/>
      <c r="BP1181" s="147"/>
      <c r="BQ1181" s="147"/>
      <c r="BR1181" s="147"/>
      <c r="BS1181" s="147"/>
      <c r="BT1181" s="147"/>
      <c r="BU1181" s="147"/>
      <c r="BV1181" s="147"/>
      <c r="BW1181" s="147"/>
      <c r="BX1181" s="147"/>
      <c r="BY1181" s="147"/>
      <c r="BZ1181" s="147"/>
      <c r="CA1181" s="147"/>
      <c r="CB1181" s="147"/>
      <c r="CC1181" s="147"/>
      <c r="CD1181" s="147"/>
      <c r="CE1181" s="147"/>
      <c r="CF1181" s="147"/>
      <c r="CG1181" s="147"/>
      <c r="CH1181" s="147"/>
      <c r="CI1181" s="147"/>
      <c r="CJ1181" s="147"/>
      <c r="CK1181" s="147"/>
    </row>
    <row r="1182" spans="1:89">
      <c r="A1182" s="147"/>
      <c r="B1182" s="147"/>
      <c r="C1182" s="147"/>
      <c r="D1182" s="147"/>
      <c r="E1182" s="147"/>
      <c r="F1182" s="147"/>
      <c r="G1182" s="147"/>
      <c r="H1182" s="147"/>
      <c r="I1182" s="147"/>
      <c r="J1182" s="147"/>
      <c r="K1182" s="147"/>
      <c r="L1182" s="147"/>
      <c r="M1182" s="147"/>
      <c r="N1182" s="147"/>
      <c r="O1182" s="158"/>
      <c r="P1182" s="147"/>
      <c r="Q1182" s="147"/>
      <c r="R1182" s="147"/>
      <c r="S1182" s="147"/>
      <c r="T1182" s="147"/>
      <c r="U1182" s="147"/>
      <c r="V1182" s="147"/>
      <c r="W1182" s="147"/>
      <c r="X1182" s="147"/>
      <c r="Y1182" s="147"/>
      <c r="Z1182" s="147"/>
      <c r="AA1182" s="147"/>
      <c r="AB1182" s="147"/>
      <c r="AC1182" s="147"/>
      <c r="AD1182" s="147"/>
      <c r="AE1182" s="147"/>
      <c r="AF1182" s="147"/>
      <c r="AG1182" s="147"/>
      <c r="AH1182" s="147"/>
      <c r="AI1182" s="147"/>
      <c r="AJ1182" s="147"/>
      <c r="AK1182" s="147"/>
      <c r="AL1182" s="147"/>
      <c r="AM1182" s="147"/>
      <c r="AN1182" s="147"/>
      <c r="AO1182" s="147"/>
      <c r="AP1182" s="147"/>
      <c r="AQ1182" s="147"/>
      <c r="AR1182" s="147"/>
      <c r="AS1182" s="147"/>
      <c r="AT1182" s="147"/>
      <c r="AU1182" s="147"/>
      <c r="AV1182" s="147"/>
      <c r="AW1182" s="147"/>
      <c r="AX1182" s="147"/>
      <c r="AY1182" s="147"/>
      <c r="AZ1182" s="147"/>
      <c r="BA1182" s="147"/>
      <c r="BB1182" s="147"/>
      <c r="BC1182" s="147"/>
      <c r="BD1182" s="147"/>
      <c r="BE1182" s="147"/>
      <c r="BF1182" s="147"/>
      <c r="BG1182" s="147"/>
      <c r="BH1182" s="147"/>
      <c r="BI1182" s="147"/>
      <c r="BJ1182" s="147"/>
      <c r="BK1182" s="147"/>
      <c r="BL1182" s="147"/>
      <c r="BM1182" s="147"/>
      <c r="BN1182" s="147"/>
      <c r="BO1182" s="147"/>
      <c r="BP1182" s="147"/>
      <c r="BQ1182" s="147"/>
      <c r="BR1182" s="147"/>
      <c r="BS1182" s="147"/>
      <c r="BT1182" s="147"/>
      <c r="BU1182" s="147"/>
      <c r="BV1182" s="147"/>
      <c r="BW1182" s="147"/>
      <c r="BX1182" s="147"/>
      <c r="BY1182" s="147"/>
      <c r="BZ1182" s="147"/>
      <c r="CA1182" s="147"/>
      <c r="CB1182" s="147"/>
      <c r="CC1182" s="147"/>
      <c r="CD1182" s="147"/>
      <c r="CE1182" s="147"/>
      <c r="CF1182" s="147"/>
      <c r="CG1182" s="147"/>
      <c r="CH1182" s="147"/>
      <c r="CI1182" s="147"/>
      <c r="CJ1182" s="147"/>
      <c r="CK1182" s="147"/>
    </row>
    <row r="1183" spans="1:89">
      <c r="A1183" s="147"/>
      <c r="B1183" s="147"/>
      <c r="C1183" s="147"/>
      <c r="D1183" s="147"/>
      <c r="E1183" s="147"/>
      <c r="F1183" s="147"/>
      <c r="G1183" s="147"/>
      <c r="H1183" s="147"/>
      <c r="I1183" s="147"/>
      <c r="J1183" s="147"/>
      <c r="K1183" s="147"/>
      <c r="L1183" s="147"/>
      <c r="M1183" s="147"/>
      <c r="N1183" s="147"/>
      <c r="O1183" s="158"/>
      <c r="P1183" s="147"/>
      <c r="Q1183" s="147"/>
      <c r="R1183" s="147"/>
      <c r="S1183" s="147"/>
      <c r="T1183" s="147"/>
      <c r="U1183" s="147"/>
      <c r="V1183" s="147"/>
      <c r="W1183" s="147"/>
      <c r="X1183" s="147"/>
      <c r="Y1183" s="147"/>
      <c r="Z1183" s="147"/>
      <c r="AA1183" s="147"/>
      <c r="AB1183" s="147"/>
      <c r="AC1183" s="147"/>
      <c r="AD1183" s="147"/>
      <c r="AE1183" s="147"/>
      <c r="AF1183" s="147"/>
      <c r="AG1183" s="147"/>
      <c r="AH1183" s="147"/>
      <c r="AI1183" s="147"/>
      <c r="AJ1183" s="147"/>
      <c r="AK1183" s="147"/>
      <c r="AL1183" s="147"/>
      <c r="AM1183" s="147"/>
      <c r="AN1183" s="147"/>
      <c r="AO1183" s="147"/>
      <c r="AP1183" s="147"/>
      <c r="AQ1183" s="147"/>
      <c r="AR1183" s="147"/>
      <c r="AS1183" s="147"/>
      <c r="AT1183" s="147"/>
      <c r="AU1183" s="147"/>
      <c r="AV1183" s="147"/>
      <c r="AW1183" s="147"/>
      <c r="AX1183" s="147"/>
      <c r="AY1183" s="147"/>
      <c r="AZ1183" s="147"/>
      <c r="BA1183" s="147"/>
      <c r="BB1183" s="147"/>
      <c r="BC1183" s="147"/>
      <c r="BD1183" s="147"/>
      <c r="BE1183" s="147"/>
      <c r="BF1183" s="147"/>
      <c r="BG1183" s="147"/>
      <c r="BH1183" s="147"/>
      <c r="BI1183" s="147"/>
      <c r="BJ1183" s="147"/>
      <c r="BK1183" s="147"/>
      <c r="BL1183" s="147"/>
      <c r="BM1183" s="147"/>
      <c r="BN1183" s="147"/>
      <c r="BO1183" s="147"/>
      <c r="BP1183" s="147"/>
      <c r="BQ1183" s="147"/>
      <c r="BR1183" s="147"/>
      <c r="BS1183" s="147"/>
      <c r="BT1183" s="147"/>
      <c r="BU1183" s="147"/>
      <c r="BV1183" s="147"/>
      <c r="BW1183" s="147"/>
      <c r="BX1183" s="147"/>
      <c r="BY1183" s="147"/>
      <c r="BZ1183" s="147"/>
      <c r="CA1183" s="147"/>
      <c r="CB1183" s="147"/>
      <c r="CC1183" s="147"/>
      <c r="CD1183" s="147"/>
      <c r="CE1183" s="147"/>
      <c r="CF1183" s="147"/>
      <c r="CG1183" s="147"/>
      <c r="CH1183" s="147"/>
      <c r="CI1183" s="147"/>
      <c r="CJ1183" s="147"/>
      <c r="CK1183" s="147"/>
    </row>
    <row r="1184" spans="1:89">
      <c r="A1184" s="147"/>
      <c r="B1184" s="147"/>
      <c r="C1184" s="147"/>
      <c r="D1184" s="147"/>
      <c r="E1184" s="147"/>
      <c r="F1184" s="147"/>
      <c r="G1184" s="147"/>
      <c r="H1184" s="147"/>
      <c r="I1184" s="147"/>
      <c r="J1184" s="147"/>
      <c r="K1184" s="147"/>
      <c r="L1184" s="147"/>
      <c r="M1184" s="147"/>
      <c r="N1184" s="147"/>
      <c r="O1184" s="158"/>
      <c r="P1184" s="147"/>
      <c r="Q1184" s="147"/>
      <c r="R1184" s="147"/>
      <c r="S1184" s="147"/>
      <c r="T1184" s="147"/>
      <c r="U1184" s="147"/>
      <c r="V1184" s="147"/>
      <c r="W1184" s="147"/>
      <c r="X1184" s="147"/>
      <c r="Y1184" s="147"/>
      <c r="Z1184" s="147"/>
      <c r="AA1184" s="147"/>
      <c r="AB1184" s="147"/>
      <c r="AC1184" s="147"/>
      <c r="AD1184" s="147"/>
      <c r="AE1184" s="147"/>
      <c r="AF1184" s="147"/>
      <c r="AG1184" s="147"/>
      <c r="AH1184" s="147"/>
      <c r="AI1184" s="147"/>
      <c r="AJ1184" s="147"/>
      <c r="AK1184" s="147"/>
      <c r="AL1184" s="147"/>
      <c r="AM1184" s="147"/>
      <c r="AN1184" s="147"/>
      <c r="AO1184" s="147"/>
      <c r="AP1184" s="147"/>
      <c r="AQ1184" s="147"/>
      <c r="AR1184" s="147"/>
      <c r="AS1184" s="147"/>
      <c r="AT1184" s="147"/>
      <c r="AU1184" s="147"/>
      <c r="AV1184" s="147"/>
      <c r="AW1184" s="147"/>
      <c r="AX1184" s="147"/>
      <c r="AY1184" s="147"/>
      <c r="AZ1184" s="147"/>
      <c r="BA1184" s="147"/>
      <c r="BB1184" s="147"/>
      <c r="BC1184" s="147"/>
      <c r="BD1184" s="147"/>
      <c r="BE1184" s="147"/>
      <c r="BF1184" s="147"/>
      <c r="BG1184" s="147"/>
      <c r="BH1184" s="147"/>
      <c r="BI1184" s="147"/>
      <c r="BJ1184" s="147"/>
      <c r="BK1184" s="147"/>
      <c r="BL1184" s="147"/>
      <c r="BM1184" s="147"/>
      <c r="BN1184" s="147"/>
      <c r="BO1184" s="147"/>
      <c r="BP1184" s="147"/>
      <c r="BQ1184" s="147"/>
      <c r="BR1184" s="147"/>
      <c r="BS1184" s="147"/>
      <c r="BT1184" s="147"/>
      <c r="BU1184" s="147"/>
      <c r="BV1184" s="147"/>
      <c r="BW1184" s="147"/>
      <c r="BX1184" s="147"/>
      <c r="BY1184" s="147"/>
      <c r="BZ1184" s="147"/>
      <c r="CA1184" s="147"/>
      <c r="CB1184" s="147"/>
      <c r="CC1184" s="147"/>
      <c r="CD1184" s="147"/>
      <c r="CE1184" s="147"/>
      <c r="CF1184" s="147"/>
      <c r="CG1184" s="147"/>
      <c r="CH1184" s="147"/>
      <c r="CI1184" s="147"/>
      <c r="CJ1184" s="147"/>
      <c r="CK1184" s="147"/>
    </row>
    <row r="1185" spans="1:89">
      <c r="A1185" s="147"/>
      <c r="B1185" s="147"/>
      <c r="C1185" s="147"/>
      <c r="D1185" s="147"/>
      <c r="E1185" s="147"/>
      <c r="F1185" s="147"/>
      <c r="G1185" s="147"/>
      <c r="H1185" s="147"/>
      <c r="I1185" s="147"/>
      <c r="J1185" s="147"/>
      <c r="K1185" s="147"/>
      <c r="L1185" s="147"/>
      <c r="M1185" s="147"/>
      <c r="N1185" s="147"/>
      <c r="O1185" s="158"/>
      <c r="P1185" s="147"/>
      <c r="Q1185" s="147"/>
      <c r="R1185" s="147"/>
      <c r="S1185" s="147"/>
      <c r="T1185" s="147"/>
      <c r="U1185" s="147"/>
      <c r="V1185" s="147"/>
      <c r="W1185" s="147"/>
      <c r="X1185" s="147"/>
      <c r="Y1185" s="147"/>
      <c r="Z1185" s="147"/>
      <c r="AA1185" s="147"/>
      <c r="AB1185" s="147"/>
      <c r="AC1185" s="147"/>
      <c r="AD1185" s="147"/>
      <c r="AE1185" s="147"/>
      <c r="AF1185" s="147"/>
      <c r="AG1185" s="147"/>
      <c r="AH1185" s="147"/>
      <c r="AI1185" s="147"/>
      <c r="AJ1185" s="147"/>
      <c r="AK1185" s="147"/>
      <c r="AL1185" s="147"/>
      <c r="AM1185" s="147"/>
      <c r="AN1185" s="147"/>
      <c r="AO1185" s="147"/>
      <c r="AP1185" s="147"/>
      <c r="AQ1185" s="147"/>
      <c r="AR1185" s="147"/>
      <c r="AS1185" s="147"/>
      <c r="AT1185" s="147"/>
      <c r="AU1185" s="147"/>
      <c r="AV1185" s="147"/>
      <c r="AW1185" s="147"/>
      <c r="AX1185" s="147"/>
      <c r="AY1185" s="147"/>
      <c r="AZ1185" s="147"/>
      <c r="BA1185" s="147"/>
      <c r="BB1185" s="147"/>
      <c r="BC1185" s="147"/>
      <c r="BD1185" s="147"/>
      <c r="BE1185" s="147"/>
      <c r="BF1185" s="147"/>
      <c r="BG1185" s="147"/>
      <c r="BH1185" s="147"/>
      <c r="BI1185" s="147"/>
      <c r="BJ1185" s="147"/>
      <c r="BK1185" s="147"/>
      <c r="BL1185" s="147"/>
      <c r="BM1185" s="147"/>
      <c r="BN1185" s="147"/>
      <c r="BO1185" s="147"/>
      <c r="BP1185" s="147"/>
      <c r="BQ1185" s="147"/>
      <c r="BR1185" s="147"/>
      <c r="BS1185" s="147"/>
      <c r="BT1185" s="147"/>
      <c r="BU1185" s="147"/>
      <c r="BV1185" s="147"/>
      <c r="BW1185" s="147"/>
      <c r="BX1185" s="147"/>
      <c r="BY1185" s="147"/>
      <c r="BZ1185" s="147"/>
      <c r="CA1185" s="147"/>
      <c r="CB1185" s="147"/>
      <c r="CC1185" s="147"/>
      <c r="CD1185" s="147"/>
      <c r="CE1185" s="147"/>
      <c r="CF1185" s="147"/>
      <c r="CG1185" s="147"/>
      <c r="CH1185" s="147"/>
      <c r="CI1185" s="147"/>
      <c r="CJ1185" s="147"/>
      <c r="CK1185" s="147"/>
    </row>
    <row r="1186" spans="1:89">
      <c r="A1186" s="147"/>
      <c r="B1186" s="147"/>
      <c r="C1186" s="147"/>
      <c r="D1186" s="147"/>
      <c r="E1186" s="147"/>
      <c r="F1186" s="147"/>
      <c r="G1186" s="147"/>
      <c r="H1186" s="147"/>
      <c r="I1186" s="147"/>
      <c r="J1186" s="147"/>
      <c r="K1186" s="147"/>
      <c r="L1186" s="147"/>
      <c r="M1186" s="147"/>
      <c r="N1186" s="147"/>
      <c r="O1186" s="158"/>
      <c r="P1186" s="147"/>
      <c r="Q1186" s="147"/>
      <c r="R1186" s="147"/>
      <c r="S1186" s="147"/>
      <c r="T1186" s="147"/>
      <c r="U1186" s="147"/>
      <c r="V1186" s="147"/>
      <c r="W1186" s="147"/>
      <c r="X1186" s="147"/>
      <c r="Y1186" s="147"/>
      <c r="Z1186" s="147"/>
      <c r="AA1186" s="147"/>
      <c r="AB1186" s="147"/>
      <c r="AC1186" s="147"/>
      <c r="AD1186" s="147"/>
      <c r="AE1186" s="147"/>
      <c r="AF1186" s="147"/>
      <c r="AG1186" s="147"/>
      <c r="AH1186" s="147"/>
      <c r="AI1186" s="147"/>
      <c r="AJ1186" s="147"/>
      <c r="AK1186" s="147"/>
      <c r="AL1186" s="147"/>
      <c r="AM1186" s="147"/>
      <c r="AN1186" s="147"/>
      <c r="AO1186" s="147"/>
      <c r="AP1186" s="147"/>
      <c r="AQ1186" s="147"/>
      <c r="AR1186" s="147"/>
      <c r="AS1186" s="147"/>
      <c r="AT1186" s="147"/>
      <c r="AU1186" s="147"/>
      <c r="AV1186" s="147"/>
      <c r="AW1186" s="147"/>
      <c r="AX1186" s="147"/>
      <c r="AY1186" s="147"/>
      <c r="AZ1186" s="147"/>
      <c r="BA1186" s="147"/>
      <c r="BB1186" s="147"/>
      <c r="BC1186" s="147"/>
      <c r="BD1186" s="147"/>
      <c r="BE1186" s="147"/>
      <c r="BF1186" s="147"/>
      <c r="BG1186" s="147"/>
      <c r="BH1186" s="147"/>
      <c r="BI1186" s="147"/>
      <c r="BJ1186" s="147"/>
      <c r="BK1186" s="147"/>
      <c r="BL1186" s="147"/>
      <c r="BM1186" s="147"/>
      <c r="BN1186" s="147"/>
      <c r="BO1186" s="147"/>
      <c r="BP1186" s="147"/>
      <c r="BQ1186" s="147"/>
      <c r="BR1186" s="147"/>
      <c r="BS1186" s="147"/>
      <c r="BT1186" s="147"/>
      <c r="BU1186" s="147"/>
      <c r="BV1186" s="147"/>
      <c r="BW1186" s="147"/>
      <c r="BX1186" s="147"/>
      <c r="BY1186" s="147"/>
      <c r="BZ1186" s="147"/>
      <c r="CA1186" s="147"/>
      <c r="CB1186" s="147"/>
      <c r="CC1186" s="147"/>
      <c r="CD1186" s="147"/>
      <c r="CE1186" s="147"/>
      <c r="CF1186" s="147"/>
      <c r="CG1186" s="147"/>
      <c r="CH1186" s="147"/>
      <c r="CI1186" s="147"/>
      <c r="CJ1186" s="147"/>
      <c r="CK1186" s="147"/>
    </row>
    <row r="1187" spans="1:89">
      <c r="A1187" s="147"/>
      <c r="B1187" s="147"/>
      <c r="C1187" s="147"/>
      <c r="D1187" s="147"/>
      <c r="E1187" s="147"/>
      <c r="F1187" s="147"/>
      <c r="G1187" s="147"/>
      <c r="H1187" s="147"/>
      <c r="I1187" s="147"/>
      <c r="J1187" s="147"/>
      <c r="K1187" s="147"/>
      <c r="L1187" s="147"/>
      <c r="M1187" s="147"/>
      <c r="N1187" s="147"/>
      <c r="O1187" s="158"/>
      <c r="P1187" s="147"/>
      <c r="Q1187" s="147"/>
      <c r="R1187" s="147"/>
      <c r="S1187" s="147"/>
      <c r="T1187" s="147"/>
      <c r="U1187" s="147"/>
      <c r="V1187" s="147"/>
      <c r="W1187" s="147"/>
      <c r="X1187" s="147"/>
      <c r="Y1187" s="147"/>
      <c r="Z1187" s="147"/>
      <c r="AA1187" s="147"/>
      <c r="AB1187" s="147"/>
      <c r="AC1187" s="147"/>
      <c r="AD1187" s="147"/>
      <c r="AE1187" s="147"/>
      <c r="AF1187" s="147"/>
      <c r="AG1187" s="147"/>
      <c r="AH1187" s="147"/>
      <c r="AI1187" s="147"/>
      <c r="AJ1187" s="147"/>
      <c r="AK1187" s="147"/>
      <c r="AL1187" s="147"/>
      <c r="AM1187" s="147"/>
      <c r="AN1187" s="147"/>
      <c r="AO1187" s="147"/>
      <c r="AP1187" s="147"/>
      <c r="AQ1187" s="147"/>
      <c r="AR1187" s="147"/>
      <c r="AS1187" s="147"/>
      <c r="AT1187" s="147"/>
      <c r="AU1187" s="147"/>
      <c r="AV1187" s="147"/>
      <c r="AW1187" s="147"/>
      <c r="AX1187" s="147"/>
      <c r="AY1187" s="147"/>
      <c r="AZ1187" s="147"/>
      <c r="BA1187" s="147"/>
      <c r="BB1187" s="147"/>
      <c r="BC1187" s="147"/>
      <c r="BD1187" s="147"/>
      <c r="BE1187" s="147"/>
      <c r="BF1187" s="147"/>
      <c r="BG1187" s="147"/>
      <c r="BH1187" s="147"/>
      <c r="BI1187" s="147"/>
      <c r="BJ1187" s="147"/>
      <c r="BK1187" s="147"/>
      <c r="BL1187" s="147"/>
      <c r="BM1187" s="147"/>
      <c r="BN1187" s="147"/>
      <c r="BO1187" s="147"/>
      <c r="BP1187" s="147"/>
      <c r="BQ1187" s="147"/>
      <c r="BR1187" s="147"/>
      <c r="BS1187" s="147"/>
      <c r="BT1187" s="147"/>
      <c r="BU1187" s="147"/>
      <c r="BV1187" s="147"/>
      <c r="BW1187" s="147"/>
      <c r="BX1187" s="147"/>
      <c r="BY1187" s="147"/>
      <c r="BZ1187" s="147"/>
      <c r="CA1187" s="147"/>
      <c r="CB1187" s="147"/>
      <c r="CC1187" s="147"/>
      <c r="CD1187" s="147"/>
      <c r="CE1187" s="147"/>
      <c r="CF1187" s="147"/>
      <c r="CG1187" s="147"/>
      <c r="CH1187" s="147"/>
      <c r="CI1187" s="147"/>
      <c r="CJ1187" s="147"/>
      <c r="CK1187" s="147"/>
    </row>
    <row r="1188" spans="1:89">
      <c r="A1188" s="147"/>
      <c r="B1188" s="147"/>
      <c r="C1188" s="147"/>
      <c r="D1188" s="147"/>
      <c r="E1188" s="147"/>
      <c r="F1188" s="147"/>
      <c r="G1188" s="147"/>
      <c r="H1188" s="147"/>
      <c r="I1188" s="147"/>
      <c r="J1188" s="147"/>
      <c r="K1188" s="147"/>
      <c r="L1188" s="147"/>
      <c r="M1188" s="147"/>
      <c r="N1188" s="147"/>
      <c r="O1188" s="158"/>
      <c r="P1188" s="147"/>
      <c r="Q1188" s="147"/>
      <c r="R1188" s="147"/>
      <c r="S1188" s="147"/>
      <c r="T1188" s="147"/>
      <c r="U1188" s="147"/>
      <c r="V1188" s="147"/>
      <c r="W1188" s="147"/>
      <c r="X1188" s="147"/>
      <c r="Y1188" s="147"/>
      <c r="Z1188" s="147"/>
      <c r="AA1188" s="147"/>
      <c r="AB1188" s="147"/>
      <c r="AC1188" s="147"/>
      <c r="AD1188" s="147"/>
      <c r="AE1188" s="147"/>
      <c r="AF1188" s="147"/>
      <c r="AG1188" s="147"/>
      <c r="AH1188" s="147"/>
      <c r="AI1188" s="147"/>
      <c r="AJ1188" s="147"/>
      <c r="AK1188" s="147"/>
      <c r="AL1188" s="147"/>
      <c r="AM1188" s="147"/>
      <c r="AN1188" s="147"/>
      <c r="AO1188" s="147"/>
      <c r="AP1188" s="147"/>
      <c r="AQ1188" s="147"/>
      <c r="AR1188" s="147"/>
      <c r="AS1188" s="147"/>
      <c r="AT1188" s="147"/>
      <c r="AU1188" s="147"/>
      <c r="AV1188" s="147"/>
      <c r="AW1188" s="147"/>
      <c r="AX1188" s="147"/>
      <c r="AY1188" s="147"/>
      <c r="AZ1188" s="147"/>
      <c r="BA1188" s="147"/>
      <c r="BB1188" s="147"/>
      <c r="BC1188" s="147"/>
      <c r="BD1188" s="147"/>
      <c r="BE1188" s="147"/>
      <c r="BF1188" s="147"/>
      <c r="BG1188" s="147"/>
      <c r="BH1188" s="147"/>
      <c r="BI1188" s="147"/>
      <c r="BJ1188" s="147"/>
      <c r="BK1188" s="147"/>
      <c r="BL1188" s="147"/>
      <c r="BM1188" s="147"/>
      <c r="BN1188" s="147"/>
      <c r="BO1188" s="147"/>
      <c r="BP1188" s="147"/>
      <c r="BQ1188" s="147"/>
      <c r="BR1188" s="147"/>
      <c r="BS1188" s="147"/>
      <c r="BT1188" s="147"/>
      <c r="BU1188" s="147"/>
      <c r="BV1188" s="147"/>
      <c r="BW1188" s="147"/>
      <c r="BX1188" s="147"/>
      <c r="BY1188" s="147"/>
      <c r="BZ1188" s="147"/>
      <c r="CA1188" s="147"/>
      <c r="CB1188" s="147"/>
      <c r="CC1188" s="147"/>
      <c r="CD1188" s="147"/>
      <c r="CE1188" s="147"/>
      <c r="CF1188" s="147"/>
      <c r="CG1188" s="147"/>
      <c r="CH1188" s="147"/>
      <c r="CI1188" s="147"/>
      <c r="CJ1188" s="147"/>
      <c r="CK1188" s="147"/>
    </row>
    <row r="1189" spans="1:89">
      <c r="A1189" s="147"/>
      <c r="B1189" s="147"/>
      <c r="C1189" s="147"/>
      <c r="D1189" s="147"/>
      <c r="E1189" s="147"/>
      <c r="F1189" s="147"/>
      <c r="G1189" s="147"/>
      <c r="H1189" s="147"/>
      <c r="I1189" s="147"/>
      <c r="J1189" s="147"/>
      <c r="K1189" s="147"/>
      <c r="L1189" s="147"/>
      <c r="M1189" s="147"/>
      <c r="N1189" s="147"/>
      <c r="O1189" s="158"/>
      <c r="P1189" s="147"/>
      <c r="Q1189" s="147"/>
      <c r="R1189" s="147"/>
      <c r="S1189" s="147"/>
      <c r="T1189" s="147"/>
      <c r="U1189" s="147"/>
      <c r="V1189" s="147"/>
      <c r="W1189" s="147"/>
      <c r="X1189" s="147"/>
      <c r="Y1189" s="147"/>
      <c r="Z1189" s="147"/>
      <c r="AA1189" s="147"/>
      <c r="AB1189" s="147"/>
      <c r="AC1189" s="147"/>
      <c r="AD1189" s="147"/>
      <c r="AE1189" s="147"/>
      <c r="AF1189" s="147"/>
      <c r="AG1189" s="147"/>
      <c r="AH1189" s="147"/>
      <c r="AI1189" s="147"/>
      <c r="AJ1189" s="147"/>
      <c r="AK1189" s="147"/>
      <c r="AL1189" s="147"/>
      <c r="AM1189" s="147"/>
      <c r="AN1189" s="147"/>
      <c r="AO1189" s="147"/>
      <c r="AP1189" s="147"/>
      <c r="AQ1189" s="147"/>
      <c r="AR1189" s="147"/>
      <c r="AS1189" s="147"/>
      <c r="AT1189" s="147"/>
      <c r="AU1189" s="147"/>
      <c r="AV1189" s="147"/>
      <c r="AW1189" s="147"/>
      <c r="AX1189" s="147"/>
      <c r="AY1189" s="147"/>
      <c r="AZ1189" s="147"/>
      <c r="BA1189" s="147"/>
      <c r="BB1189" s="147"/>
      <c r="BC1189" s="147"/>
      <c r="BD1189" s="147"/>
      <c r="BE1189" s="147"/>
      <c r="BF1189" s="147"/>
      <c r="BG1189" s="147"/>
      <c r="BH1189" s="147"/>
      <c r="BI1189" s="147"/>
      <c r="BJ1189" s="147"/>
      <c r="BK1189" s="147"/>
      <c r="BL1189" s="147"/>
      <c r="BM1189" s="147"/>
      <c r="BN1189" s="147"/>
      <c r="BO1189" s="147"/>
      <c r="BP1189" s="147"/>
      <c r="BQ1189" s="147"/>
      <c r="BR1189" s="147"/>
      <c r="BS1189" s="147"/>
      <c r="BT1189" s="147"/>
      <c r="BU1189" s="147"/>
      <c r="BV1189" s="147"/>
      <c r="BW1189" s="147"/>
      <c r="BX1189" s="147"/>
      <c r="BY1189" s="147"/>
      <c r="BZ1189" s="147"/>
      <c r="CA1189" s="147"/>
      <c r="CB1189" s="147"/>
      <c r="CC1189" s="147"/>
      <c r="CD1189" s="147"/>
      <c r="CE1189" s="147"/>
      <c r="CF1189" s="147"/>
      <c r="CG1189" s="147"/>
      <c r="CH1189" s="147"/>
      <c r="CI1189" s="147"/>
      <c r="CJ1189" s="147"/>
      <c r="CK1189" s="147"/>
    </row>
    <row r="1190" spans="1:89">
      <c r="A1190" s="147"/>
      <c r="B1190" s="147"/>
      <c r="C1190" s="147"/>
      <c r="D1190" s="147"/>
      <c r="E1190" s="147"/>
      <c r="F1190" s="147"/>
      <c r="G1190" s="147"/>
      <c r="H1190" s="147"/>
      <c r="I1190" s="147"/>
      <c r="J1190" s="147"/>
      <c r="K1190" s="147"/>
      <c r="L1190" s="147"/>
      <c r="M1190" s="147"/>
      <c r="N1190" s="147"/>
      <c r="O1190" s="158"/>
      <c r="P1190" s="147"/>
      <c r="Q1190" s="147"/>
      <c r="R1190" s="147"/>
      <c r="S1190" s="147"/>
      <c r="T1190" s="147"/>
      <c r="U1190" s="147"/>
      <c r="V1190" s="147"/>
      <c r="W1190" s="147"/>
      <c r="X1190" s="147"/>
      <c r="Y1190" s="147"/>
      <c r="Z1190" s="147"/>
      <c r="AA1190" s="147"/>
      <c r="AB1190" s="147"/>
      <c r="AC1190" s="147"/>
      <c r="AD1190" s="147"/>
      <c r="AE1190" s="147"/>
      <c r="AF1190" s="147"/>
      <c r="AG1190" s="147"/>
      <c r="AH1190" s="147"/>
      <c r="AI1190" s="147"/>
      <c r="AJ1190" s="147"/>
      <c r="AK1190" s="147"/>
      <c r="AL1190" s="147"/>
      <c r="AM1190" s="147"/>
      <c r="AN1190" s="147"/>
      <c r="AO1190" s="147"/>
      <c r="AP1190" s="147"/>
      <c r="AQ1190" s="147"/>
      <c r="AR1190" s="147"/>
      <c r="AS1190" s="147"/>
      <c r="AT1190" s="147"/>
      <c r="AU1190" s="147"/>
      <c r="AV1190" s="147"/>
      <c r="AW1190" s="147"/>
      <c r="AX1190" s="147"/>
      <c r="AY1190" s="147"/>
      <c r="AZ1190" s="147"/>
      <c r="BA1190" s="147"/>
      <c r="BB1190" s="147"/>
      <c r="BC1190" s="147"/>
      <c r="BD1190" s="147"/>
      <c r="BE1190" s="147"/>
      <c r="BF1190" s="147"/>
      <c r="BG1190" s="147"/>
      <c r="BH1190" s="147"/>
      <c r="BI1190" s="147"/>
      <c r="BJ1190" s="147"/>
      <c r="BK1190" s="147"/>
      <c r="BL1190" s="147"/>
      <c r="BM1190" s="147"/>
      <c r="BN1190" s="147"/>
      <c r="BO1190" s="147"/>
      <c r="BP1190" s="147"/>
      <c r="BQ1190" s="147"/>
      <c r="BR1190" s="147"/>
      <c r="BS1190" s="147"/>
      <c r="BT1190" s="147"/>
      <c r="BU1190" s="147"/>
      <c r="BV1190" s="147"/>
      <c r="BW1190" s="147"/>
      <c r="BX1190" s="147"/>
      <c r="BY1190" s="147"/>
      <c r="BZ1190" s="147"/>
      <c r="CA1190" s="147"/>
      <c r="CB1190" s="147"/>
      <c r="CC1190" s="147"/>
      <c r="CD1190" s="147"/>
      <c r="CE1190" s="147"/>
      <c r="CF1190" s="147"/>
      <c r="CG1190" s="147"/>
      <c r="CH1190" s="147"/>
      <c r="CI1190" s="147"/>
      <c r="CJ1190" s="147"/>
      <c r="CK1190" s="147"/>
    </row>
    <row r="1191" spans="1:89">
      <c r="A1191" s="147"/>
      <c r="B1191" s="147"/>
      <c r="C1191" s="147"/>
      <c r="D1191" s="147"/>
      <c r="E1191" s="147"/>
      <c r="F1191" s="147"/>
      <c r="G1191" s="147"/>
      <c r="H1191" s="147"/>
      <c r="I1191" s="147"/>
      <c r="J1191" s="147"/>
      <c r="K1191" s="147"/>
      <c r="L1191" s="147"/>
      <c r="M1191" s="147"/>
      <c r="N1191" s="147"/>
      <c r="O1191" s="158"/>
      <c r="P1191" s="147"/>
      <c r="Q1191" s="147"/>
      <c r="R1191" s="147"/>
      <c r="S1191" s="147"/>
      <c r="T1191" s="147"/>
      <c r="U1191" s="147"/>
      <c r="V1191" s="147"/>
      <c r="W1191" s="147"/>
      <c r="X1191" s="147"/>
      <c r="Y1191" s="147"/>
      <c r="Z1191" s="147"/>
      <c r="AA1191" s="147"/>
      <c r="AB1191" s="147"/>
      <c r="AC1191" s="147"/>
      <c r="AD1191" s="147"/>
      <c r="AE1191" s="147"/>
      <c r="AF1191" s="147"/>
      <c r="AG1191" s="147"/>
      <c r="AH1191" s="147"/>
      <c r="AI1191" s="147"/>
      <c r="AJ1191" s="147"/>
      <c r="AK1191" s="147"/>
      <c r="AL1191" s="147"/>
      <c r="AM1191" s="147"/>
      <c r="AN1191" s="147"/>
      <c r="AO1191" s="147"/>
      <c r="AP1191" s="147"/>
      <c r="AQ1191" s="147"/>
      <c r="AR1191" s="147"/>
      <c r="AS1191" s="147"/>
      <c r="AT1191" s="147"/>
      <c r="AU1191" s="147"/>
      <c r="AV1191" s="147"/>
      <c r="AW1191" s="147"/>
      <c r="AX1191" s="147"/>
      <c r="AY1191" s="147"/>
      <c r="AZ1191" s="147"/>
      <c r="BA1191" s="147"/>
      <c r="BB1191" s="147"/>
      <c r="BC1191" s="147"/>
      <c r="BD1191" s="147"/>
      <c r="BE1191" s="147"/>
      <c r="BF1191" s="147"/>
      <c r="BG1191" s="147"/>
      <c r="BH1191" s="147"/>
      <c r="BI1191" s="147"/>
      <c r="BJ1191" s="147"/>
      <c r="BK1191" s="147"/>
      <c r="BL1191" s="147"/>
      <c r="BM1191" s="147"/>
      <c r="BN1191" s="147"/>
      <c r="BO1191" s="147"/>
      <c r="BP1191" s="147"/>
      <c r="BQ1191" s="147"/>
      <c r="BR1191" s="147"/>
      <c r="BS1191" s="147"/>
      <c r="BT1191" s="147"/>
      <c r="BU1191" s="147"/>
      <c r="BV1191" s="147"/>
      <c r="BW1191" s="147"/>
      <c r="BX1191" s="147"/>
      <c r="BY1191" s="147"/>
      <c r="BZ1191" s="147"/>
      <c r="CA1191" s="147"/>
      <c r="CB1191" s="147"/>
      <c r="CC1191" s="147"/>
      <c r="CD1191" s="147"/>
      <c r="CE1191" s="147"/>
      <c r="CF1191" s="147"/>
      <c r="CG1191" s="147"/>
      <c r="CH1191" s="147"/>
      <c r="CI1191" s="147"/>
      <c r="CJ1191" s="147"/>
      <c r="CK1191" s="147"/>
    </row>
    <row r="1192" spans="1:89">
      <c r="A1192" s="147"/>
      <c r="B1192" s="147"/>
      <c r="C1192" s="147"/>
      <c r="D1192" s="147"/>
      <c r="E1192" s="147"/>
      <c r="F1192" s="147"/>
      <c r="G1192" s="147"/>
      <c r="H1192" s="147"/>
      <c r="I1192" s="147"/>
      <c r="J1192" s="147"/>
      <c r="K1192" s="147"/>
      <c r="L1192" s="147"/>
      <c r="M1192" s="147"/>
      <c r="N1192" s="147"/>
      <c r="O1192" s="158"/>
      <c r="P1192" s="147"/>
      <c r="Q1192" s="147"/>
      <c r="R1192" s="147"/>
      <c r="S1192" s="147"/>
      <c r="T1192" s="147"/>
      <c r="U1192" s="147"/>
      <c r="V1192" s="147"/>
      <c r="W1192" s="147"/>
      <c r="X1192" s="147"/>
      <c r="Y1192" s="147"/>
      <c r="Z1192" s="147"/>
      <c r="AA1192" s="147"/>
      <c r="AB1192" s="147"/>
      <c r="AC1192" s="147"/>
      <c r="AD1192" s="147"/>
      <c r="AE1192" s="147"/>
      <c r="AF1192" s="147"/>
      <c r="AG1192" s="147"/>
      <c r="AH1192" s="147"/>
      <c r="AI1192" s="147"/>
      <c r="AJ1192" s="147"/>
      <c r="AK1192" s="147"/>
      <c r="AL1192" s="147"/>
      <c r="AM1192" s="147"/>
      <c r="AN1192" s="147"/>
      <c r="AO1192" s="147"/>
      <c r="AP1192" s="147"/>
      <c r="AQ1192" s="147"/>
      <c r="AR1192" s="147"/>
      <c r="AS1192" s="147"/>
      <c r="AT1192" s="147"/>
      <c r="AU1192" s="147"/>
      <c r="AV1192" s="147"/>
      <c r="AW1192" s="147"/>
      <c r="AX1192" s="147"/>
      <c r="AY1192" s="147"/>
      <c r="AZ1192" s="147"/>
      <c r="BA1192" s="147"/>
      <c r="BB1192" s="147"/>
      <c r="BC1192" s="147"/>
      <c r="BD1192" s="147"/>
      <c r="BE1192" s="147"/>
      <c r="BF1192" s="147"/>
      <c r="BG1192" s="147"/>
      <c r="BH1192" s="147"/>
      <c r="BI1192" s="147"/>
      <c r="BJ1192" s="147"/>
      <c r="BK1192" s="147"/>
      <c r="BL1192" s="147"/>
      <c r="BM1192" s="147"/>
      <c r="BN1192" s="147"/>
      <c r="BO1192" s="147"/>
      <c r="BP1192" s="147"/>
      <c r="BQ1192" s="147"/>
      <c r="BR1192" s="147"/>
      <c r="BS1192" s="147"/>
      <c r="BT1192" s="147"/>
      <c r="BU1192" s="147"/>
      <c r="BV1192" s="147"/>
      <c r="BW1192" s="147"/>
      <c r="BX1192" s="147"/>
      <c r="BY1192" s="147"/>
      <c r="BZ1192" s="147"/>
      <c r="CA1192" s="147"/>
      <c r="CB1192" s="147"/>
      <c r="CC1192" s="147"/>
      <c r="CD1192" s="147"/>
      <c r="CE1192" s="147"/>
      <c r="CF1192" s="147"/>
      <c r="CG1192" s="147"/>
      <c r="CH1192" s="147"/>
      <c r="CI1192" s="147"/>
      <c r="CJ1192" s="147"/>
      <c r="CK1192" s="147"/>
    </row>
    <row r="1193" spans="1:89">
      <c r="A1193" s="147"/>
      <c r="B1193" s="147"/>
      <c r="C1193" s="147"/>
      <c r="D1193" s="147"/>
      <c r="E1193" s="147"/>
      <c r="F1193" s="147"/>
      <c r="G1193" s="147"/>
      <c r="H1193" s="147"/>
      <c r="I1193" s="147"/>
      <c r="J1193" s="147"/>
      <c r="K1193" s="147"/>
      <c r="L1193" s="147"/>
      <c r="M1193" s="147"/>
      <c r="N1193" s="147"/>
      <c r="O1193" s="158"/>
      <c r="P1193" s="147"/>
      <c r="Q1193" s="147"/>
      <c r="R1193" s="147"/>
      <c r="S1193" s="147"/>
      <c r="T1193" s="147"/>
      <c r="U1193" s="147"/>
      <c r="V1193" s="147"/>
      <c r="W1193" s="147"/>
      <c r="X1193" s="147"/>
      <c r="Y1193" s="147"/>
      <c r="Z1193" s="147"/>
      <c r="AA1193" s="147"/>
      <c r="AB1193" s="147"/>
      <c r="AC1193" s="147"/>
      <c r="AD1193" s="147"/>
      <c r="AE1193" s="147"/>
      <c r="AF1193" s="147"/>
      <c r="AG1193" s="147"/>
      <c r="AH1193" s="147"/>
      <c r="AI1193" s="147"/>
      <c r="AJ1193" s="147"/>
      <c r="AK1193" s="147"/>
      <c r="AL1193" s="147"/>
      <c r="AM1193" s="147"/>
      <c r="AN1193" s="147"/>
      <c r="AO1193" s="147"/>
      <c r="AP1193" s="147"/>
      <c r="AQ1193" s="147"/>
      <c r="AR1193" s="147"/>
      <c r="AS1193" s="147"/>
      <c r="AT1193" s="147"/>
      <c r="AU1193" s="147"/>
      <c r="AV1193" s="147"/>
      <c r="AW1193" s="147"/>
      <c r="AX1193" s="147"/>
      <c r="AY1193" s="147"/>
      <c r="AZ1193" s="147"/>
      <c r="BA1193" s="147"/>
      <c r="BB1193" s="147"/>
      <c r="BC1193" s="147"/>
      <c r="BD1193" s="147"/>
      <c r="BE1193" s="147"/>
      <c r="BF1193" s="147"/>
      <c r="BG1193" s="147"/>
      <c r="BH1193" s="147"/>
      <c r="BI1193" s="147"/>
      <c r="BJ1193" s="147"/>
      <c r="BK1193" s="147"/>
      <c r="BL1193" s="147"/>
      <c r="BM1193" s="147"/>
      <c r="BN1193" s="147"/>
      <c r="BO1193" s="147"/>
      <c r="BP1193" s="147"/>
      <c r="BQ1193" s="147"/>
      <c r="BR1193" s="147"/>
      <c r="BS1193" s="147"/>
      <c r="BT1193" s="147"/>
      <c r="BU1193" s="147"/>
      <c r="BV1193" s="147"/>
      <c r="BW1193" s="147"/>
      <c r="BX1193" s="147"/>
      <c r="BY1193" s="147"/>
      <c r="BZ1193" s="147"/>
      <c r="CA1193" s="147"/>
      <c r="CB1193" s="147"/>
      <c r="CC1193" s="147"/>
      <c r="CD1193" s="147"/>
      <c r="CE1193" s="147"/>
      <c r="CF1193" s="147"/>
      <c r="CG1193" s="147"/>
      <c r="CH1193" s="147"/>
      <c r="CI1193" s="147"/>
      <c r="CJ1193" s="147"/>
      <c r="CK1193" s="147"/>
    </row>
    <row r="1194" spans="1:89">
      <c r="A1194" s="147"/>
      <c r="B1194" s="147"/>
      <c r="C1194" s="147"/>
      <c r="D1194" s="147"/>
      <c r="E1194" s="147"/>
      <c r="F1194" s="147"/>
      <c r="G1194" s="147"/>
      <c r="H1194" s="147"/>
      <c r="I1194" s="147"/>
      <c r="J1194" s="147"/>
      <c r="K1194" s="147"/>
      <c r="L1194" s="147"/>
      <c r="M1194" s="147"/>
      <c r="N1194" s="147"/>
      <c r="O1194" s="158"/>
      <c r="P1194" s="147"/>
      <c r="Q1194" s="147"/>
      <c r="R1194" s="147"/>
      <c r="S1194" s="147"/>
      <c r="T1194" s="147"/>
      <c r="U1194" s="147"/>
      <c r="V1194" s="147"/>
      <c r="W1194" s="147"/>
      <c r="X1194" s="147"/>
      <c r="Y1194" s="147"/>
      <c r="Z1194" s="147"/>
      <c r="AA1194" s="147"/>
      <c r="AB1194" s="147"/>
      <c r="AC1194" s="147"/>
      <c r="AD1194" s="147"/>
      <c r="AE1194" s="147"/>
      <c r="AF1194" s="147"/>
      <c r="AG1194" s="147"/>
      <c r="AH1194" s="147"/>
      <c r="AI1194" s="147"/>
      <c r="AJ1194" s="147"/>
      <c r="AK1194" s="147"/>
      <c r="AL1194" s="147"/>
      <c r="AM1194" s="147"/>
      <c r="AN1194" s="147"/>
      <c r="AO1194" s="147"/>
      <c r="AP1194" s="147"/>
      <c r="AQ1194" s="147"/>
      <c r="AR1194" s="147"/>
      <c r="AS1194" s="147"/>
      <c r="AT1194" s="147"/>
      <c r="AU1194" s="147"/>
      <c r="AV1194" s="147"/>
      <c r="AW1194" s="147"/>
      <c r="AX1194" s="147"/>
      <c r="AY1194" s="147"/>
      <c r="AZ1194" s="147"/>
      <c r="BA1194" s="147"/>
      <c r="BB1194" s="147"/>
      <c r="BC1194" s="147"/>
      <c r="BD1194" s="147"/>
      <c r="BE1194" s="147"/>
      <c r="BF1194" s="147"/>
      <c r="BG1194" s="147"/>
      <c r="BH1194" s="147"/>
      <c r="BI1194" s="147"/>
      <c r="BJ1194" s="147"/>
      <c r="BK1194" s="147"/>
      <c r="BL1194" s="147"/>
      <c r="BM1194" s="147"/>
      <c r="BN1194" s="147"/>
      <c r="BO1194" s="147"/>
      <c r="BP1194" s="147"/>
      <c r="BQ1194" s="147"/>
      <c r="BR1194" s="147"/>
      <c r="BS1194" s="147"/>
      <c r="BT1194" s="147"/>
      <c r="BU1194" s="147"/>
      <c r="BV1194" s="147"/>
      <c r="BW1194" s="147"/>
      <c r="BX1194" s="147"/>
      <c r="BY1194" s="147"/>
      <c r="BZ1194" s="147"/>
      <c r="CA1194" s="147"/>
      <c r="CB1194" s="147"/>
      <c r="CC1194" s="147"/>
      <c r="CD1194" s="147"/>
      <c r="CE1194" s="147"/>
      <c r="CF1194" s="147"/>
      <c r="CG1194" s="147"/>
      <c r="CH1194" s="147"/>
      <c r="CI1194" s="147"/>
      <c r="CJ1194" s="147"/>
      <c r="CK1194" s="147"/>
    </row>
    <row r="1195" spans="1:89">
      <c r="A1195" s="147"/>
      <c r="B1195" s="147"/>
      <c r="C1195" s="147"/>
      <c r="D1195" s="147"/>
      <c r="E1195" s="147"/>
      <c r="F1195" s="147"/>
      <c r="G1195" s="147"/>
      <c r="H1195" s="147"/>
      <c r="I1195" s="147"/>
      <c r="J1195" s="147"/>
      <c r="K1195" s="147"/>
      <c r="L1195" s="147"/>
      <c r="M1195" s="147"/>
      <c r="N1195" s="147"/>
      <c r="O1195" s="158"/>
      <c r="P1195" s="147"/>
      <c r="Q1195" s="147"/>
      <c r="R1195" s="147"/>
      <c r="S1195" s="147"/>
      <c r="T1195" s="147"/>
      <c r="U1195" s="147"/>
      <c r="V1195" s="147"/>
      <c r="W1195" s="147"/>
      <c r="X1195" s="147"/>
      <c r="Y1195" s="147"/>
      <c r="Z1195" s="147"/>
      <c r="AA1195" s="147"/>
      <c r="AB1195" s="147"/>
      <c r="AC1195" s="147"/>
      <c r="AD1195" s="147"/>
      <c r="AE1195" s="147"/>
      <c r="AF1195" s="147"/>
      <c r="AG1195" s="147"/>
      <c r="AH1195" s="147"/>
      <c r="AI1195" s="147"/>
      <c r="AJ1195" s="147"/>
      <c r="AK1195" s="147"/>
      <c r="AL1195" s="147"/>
      <c r="AM1195" s="147"/>
      <c r="AN1195" s="147"/>
      <c r="AO1195" s="147"/>
      <c r="AP1195" s="147"/>
      <c r="AQ1195" s="147"/>
      <c r="AR1195" s="147"/>
      <c r="AS1195" s="147"/>
      <c r="AT1195" s="147"/>
      <c r="AU1195" s="147"/>
      <c r="AV1195" s="147"/>
      <c r="AW1195" s="147"/>
      <c r="AX1195" s="147"/>
      <c r="AY1195" s="147"/>
      <c r="AZ1195" s="147"/>
      <c r="BA1195" s="147"/>
      <c r="BB1195" s="147"/>
      <c r="BC1195" s="147"/>
      <c r="BD1195" s="147"/>
      <c r="BE1195" s="147"/>
      <c r="BF1195" s="147"/>
      <c r="BG1195" s="147"/>
      <c r="BH1195" s="147"/>
      <c r="BI1195" s="147"/>
      <c r="BJ1195" s="147"/>
      <c r="BK1195" s="147"/>
      <c r="BL1195" s="147"/>
      <c r="BM1195" s="147"/>
      <c r="BN1195" s="147"/>
      <c r="BO1195" s="147"/>
      <c r="BP1195" s="147"/>
      <c r="BQ1195" s="147"/>
      <c r="BR1195" s="147"/>
      <c r="BS1195" s="147"/>
      <c r="BT1195" s="147"/>
      <c r="BU1195" s="147"/>
      <c r="BV1195" s="147"/>
      <c r="BW1195" s="147"/>
      <c r="BX1195" s="147"/>
      <c r="BY1195" s="147"/>
      <c r="BZ1195" s="147"/>
      <c r="CA1195" s="147"/>
      <c r="CB1195" s="147"/>
      <c r="CC1195" s="147"/>
      <c r="CD1195" s="147"/>
      <c r="CE1195" s="147"/>
      <c r="CF1195" s="147"/>
      <c r="CG1195" s="147"/>
      <c r="CH1195" s="147"/>
      <c r="CI1195" s="147"/>
      <c r="CJ1195" s="147"/>
      <c r="CK1195" s="147"/>
    </row>
    <row r="1196" spans="1:89">
      <c r="A1196" s="147"/>
      <c r="B1196" s="147"/>
      <c r="C1196" s="147"/>
      <c r="D1196" s="147"/>
      <c r="E1196" s="147"/>
      <c r="F1196" s="147"/>
      <c r="G1196" s="147"/>
      <c r="H1196" s="147"/>
      <c r="I1196" s="147"/>
      <c r="J1196" s="147"/>
      <c r="K1196" s="147"/>
      <c r="L1196" s="147"/>
      <c r="M1196" s="147"/>
      <c r="N1196" s="147"/>
      <c r="O1196" s="158"/>
      <c r="P1196" s="147"/>
      <c r="Q1196" s="147"/>
      <c r="R1196" s="147"/>
      <c r="S1196" s="147"/>
      <c r="T1196" s="147"/>
      <c r="U1196" s="147"/>
      <c r="V1196" s="147"/>
      <c r="W1196" s="147"/>
      <c r="X1196" s="147"/>
      <c r="Y1196" s="147"/>
      <c r="Z1196" s="147"/>
      <c r="AA1196" s="147"/>
      <c r="AB1196" s="147"/>
      <c r="AC1196" s="147"/>
      <c r="AD1196" s="147"/>
      <c r="AE1196" s="147"/>
      <c r="AF1196" s="147"/>
      <c r="AG1196" s="147"/>
      <c r="AH1196" s="147"/>
      <c r="AI1196" s="147"/>
      <c r="AJ1196" s="147"/>
      <c r="AK1196" s="147"/>
      <c r="AL1196" s="147"/>
      <c r="AM1196" s="147"/>
      <c r="AN1196" s="147"/>
      <c r="AO1196" s="147"/>
      <c r="AP1196" s="147"/>
      <c r="AQ1196" s="147"/>
      <c r="AR1196" s="147"/>
      <c r="AS1196" s="147"/>
      <c r="AT1196" s="147"/>
      <c r="AU1196" s="147"/>
      <c r="AV1196" s="147"/>
      <c r="AW1196" s="147"/>
      <c r="AX1196" s="147"/>
      <c r="AY1196" s="147"/>
      <c r="AZ1196" s="147"/>
      <c r="BA1196" s="147"/>
      <c r="BB1196" s="147"/>
      <c r="BC1196" s="147"/>
      <c r="BD1196" s="147"/>
      <c r="BE1196" s="147"/>
      <c r="BF1196" s="147"/>
      <c r="BG1196" s="147"/>
      <c r="BH1196" s="147"/>
      <c r="BI1196" s="147"/>
      <c r="BJ1196" s="147"/>
      <c r="BK1196" s="147"/>
      <c r="BL1196" s="147"/>
      <c r="BM1196" s="147"/>
      <c r="BN1196" s="147"/>
      <c r="BO1196" s="147"/>
      <c r="BP1196" s="147"/>
      <c r="BQ1196" s="147"/>
      <c r="BR1196" s="147"/>
      <c r="BS1196" s="147"/>
      <c r="BT1196" s="147"/>
      <c r="BU1196" s="147"/>
      <c r="BV1196" s="147"/>
      <c r="BW1196" s="147"/>
      <c r="BX1196" s="147"/>
      <c r="BY1196" s="147"/>
      <c r="BZ1196" s="147"/>
      <c r="CA1196" s="147"/>
      <c r="CB1196" s="147"/>
      <c r="CC1196" s="147"/>
      <c r="CD1196" s="147"/>
      <c r="CE1196" s="147"/>
      <c r="CF1196" s="147"/>
      <c r="CG1196" s="147"/>
      <c r="CH1196" s="147"/>
      <c r="CI1196" s="147"/>
      <c r="CJ1196" s="147"/>
      <c r="CK1196" s="147"/>
    </row>
    <row r="1197" spans="1:89">
      <c r="A1197" s="147"/>
      <c r="B1197" s="147"/>
      <c r="C1197" s="147"/>
      <c r="D1197" s="147"/>
      <c r="E1197" s="147"/>
      <c r="F1197" s="147"/>
      <c r="G1197" s="147"/>
      <c r="H1197" s="147"/>
      <c r="I1197" s="147"/>
      <c r="J1197" s="147"/>
      <c r="K1197" s="147"/>
      <c r="L1197" s="147"/>
      <c r="M1197" s="147"/>
      <c r="N1197" s="147"/>
      <c r="O1197" s="158"/>
      <c r="P1197" s="147"/>
      <c r="Q1197" s="147"/>
      <c r="R1197" s="147"/>
      <c r="S1197" s="147"/>
      <c r="T1197" s="147"/>
      <c r="U1197" s="147"/>
      <c r="V1197" s="147"/>
      <c r="W1197" s="147"/>
      <c r="X1197" s="147"/>
      <c r="Y1197" s="147"/>
      <c r="Z1197" s="147"/>
      <c r="AA1197" s="147"/>
      <c r="AB1197" s="147"/>
      <c r="AC1197" s="147"/>
      <c r="AD1197" s="147"/>
      <c r="AE1197" s="147"/>
      <c r="AF1197" s="147"/>
      <c r="AG1197" s="147"/>
      <c r="AH1197" s="147"/>
      <c r="AI1197" s="147"/>
      <c r="AJ1197" s="147"/>
      <c r="AK1197" s="147"/>
      <c r="AL1197" s="147"/>
      <c r="AM1197" s="147"/>
      <c r="AN1197" s="147"/>
      <c r="AO1197" s="147"/>
      <c r="AP1197" s="147"/>
      <c r="AQ1197" s="147"/>
      <c r="AR1197" s="147"/>
      <c r="AS1197" s="147"/>
      <c r="AT1197" s="147"/>
      <c r="AU1197" s="147"/>
      <c r="AV1197" s="147"/>
      <c r="AW1197" s="147"/>
      <c r="AX1197" s="147"/>
      <c r="AY1197" s="147"/>
      <c r="AZ1197" s="147"/>
      <c r="BA1197" s="147"/>
      <c r="BB1197" s="147"/>
      <c r="BC1197" s="147"/>
      <c r="BD1197" s="147"/>
      <c r="BE1197" s="147"/>
      <c r="BF1197" s="147"/>
      <c r="BG1197" s="147"/>
      <c r="BH1197" s="147"/>
      <c r="BI1197" s="147"/>
      <c r="BJ1197" s="147"/>
      <c r="BK1197" s="147"/>
      <c r="BL1197" s="147"/>
      <c r="BM1197" s="147"/>
      <c r="BN1197" s="147"/>
      <c r="BO1197" s="147"/>
      <c r="BP1197" s="147"/>
      <c r="BQ1197" s="147"/>
      <c r="BR1197" s="147"/>
      <c r="BS1197" s="147"/>
      <c r="BT1197" s="147"/>
      <c r="BU1197" s="147"/>
      <c r="BV1197" s="147"/>
      <c r="BW1197" s="147"/>
      <c r="BX1197" s="147"/>
      <c r="BY1197" s="147"/>
      <c r="BZ1197" s="147"/>
      <c r="CA1197" s="147"/>
      <c r="CB1197" s="147"/>
      <c r="CC1197" s="147"/>
      <c r="CD1197" s="147"/>
      <c r="CE1197" s="147"/>
      <c r="CF1197" s="147"/>
      <c r="CG1197" s="147"/>
      <c r="CH1197" s="147"/>
      <c r="CI1197" s="147"/>
      <c r="CJ1197" s="147"/>
      <c r="CK1197" s="147"/>
    </row>
    <row r="1198" spans="1:89">
      <c r="A1198" s="147"/>
      <c r="B1198" s="147"/>
      <c r="C1198" s="147"/>
      <c r="D1198" s="147"/>
      <c r="E1198" s="147"/>
      <c r="F1198" s="147"/>
      <c r="G1198" s="147"/>
      <c r="H1198" s="147"/>
      <c r="I1198" s="147"/>
      <c r="J1198" s="147"/>
      <c r="K1198" s="147"/>
      <c r="L1198" s="147"/>
      <c r="M1198" s="147"/>
      <c r="N1198" s="147"/>
      <c r="O1198" s="158"/>
      <c r="P1198" s="147"/>
      <c r="Q1198" s="147"/>
      <c r="R1198" s="147"/>
      <c r="S1198" s="147"/>
      <c r="T1198" s="147"/>
      <c r="U1198" s="147"/>
      <c r="V1198" s="147"/>
      <c r="W1198" s="147"/>
      <c r="X1198" s="147"/>
      <c r="Y1198" s="147"/>
      <c r="Z1198" s="147"/>
      <c r="AA1198" s="147"/>
      <c r="AB1198" s="147"/>
      <c r="AC1198" s="147"/>
      <c r="AD1198" s="147"/>
      <c r="AE1198" s="147"/>
      <c r="AF1198" s="147"/>
      <c r="AG1198" s="147"/>
      <c r="AH1198" s="147"/>
      <c r="AI1198" s="147"/>
      <c r="AJ1198" s="147"/>
      <c r="AK1198" s="147"/>
      <c r="AL1198" s="147"/>
      <c r="AM1198" s="147"/>
      <c r="AN1198" s="147"/>
      <c r="AO1198" s="147"/>
      <c r="AP1198" s="147"/>
      <c r="AQ1198" s="147"/>
      <c r="AR1198" s="147"/>
      <c r="AS1198" s="147"/>
      <c r="AT1198" s="147"/>
      <c r="AU1198" s="147"/>
      <c r="AV1198" s="147"/>
      <c r="AW1198" s="147"/>
      <c r="AX1198" s="147"/>
      <c r="AY1198" s="147"/>
      <c r="AZ1198" s="147"/>
      <c r="BA1198" s="147"/>
      <c r="BB1198" s="147"/>
      <c r="BC1198" s="147"/>
      <c r="BD1198" s="147"/>
      <c r="BE1198" s="147"/>
      <c r="BF1198" s="147"/>
      <c r="BG1198" s="147"/>
      <c r="BH1198" s="147"/>
      <c r="BI1198" s="147"/>
      <c r="BJ1198" s="147"/>
      <c r="BK1198" s="147"/>
      <c r="BL1198" s="147"/>
      <c r="BM1198" s="147"/>
      <c r="BN1198" s="147"/>
      <c r="BO1198" s="147"/>
      <c r="BP1198" s="147"/>
      <c r="BQ1198" s="147"/>
      <c r="BR1198" s="147"/>
      <c r="BS1198" s="147"/>
      <c r="BT1198" s="147"/>
      <c r="BU1198" s="147"/>
      <c r="BV1198" s="147"/>
      <c r="BW1198" s="147"/>
      <c r="BX1198" s="147"/>
      <c r="BY1198" s="147"/>
      <c r="BZ1198" s="147"/>
      <c r="CA1198" s="147"/>
      <c r="CB1198" s="147"/>
      <c r="CC1198" s="147"/>
      <c r="CD1198" s="147"/>
      <c r="CE1198" s="147"/>
      <c r="CF1198" s="147"/>
      <c r="CG1198" s="147"/>
      <c r="CH1198" s="147"/>
      <c r="CI1198" s="147"/>
      <c r="CJ1198" s="147"/>
      <c r="CK1198" s="147"/>
    </row>
    <row r="1199" spans="1:89">
      <c r="A1199" s="147"/>
      <c r="B1199" s="147"/>
      <c r="C1199" s="147"/>
      <c r="D1199" s="147"/>
      <c r="E1199" s="147"/>
      <c r="F1199" s="147"/>
      <c r="G1199" s="147"/>
      <c r="H1199" s="147"/>
      <c r="I1199" s="147"/>
      <c r="J1199" s="147"/>
      <c r="K1199" s="147"/>
      <c r="L1199" s="147"/>
      <c r="M1199" s="147"/>
      <c r="N1199" s="147"/>
      <c r="O1199" s="158"/>
      <c r="P1199" s="147"/>
      <c r="Q1199" s="147"/>
      <c r="R1199" s="147"/>
      <c r="S1199" s="147"/>
      <c r="T1199" s="147"/>
      <c r="U1199" s="147"/>
      <c r="V1199" s="147"/>
      <c r="W1199" s="147"/>
      <c r="X1199" s="147"/>
      <c r="Y1199" s="147"/>
      <c r="Z1199" s="147"/>
      <c r="AA1199" s="147"/>
      <c r="AB1199" s="147"/>
      <c r="AC1199" s="147"/>
      <c r="AD1199" s="147"/>
      <c r="AE1199" s="147"/>
      <c r="AF1199" s="147"/>
      <c r="AG1199" s="147"/>
      <c r="AH1199" s="147"/>
      <c r="AI1199" s="147"/>
      <c r="AJ1199" s="147"/>
      <c r="AK1199" s="147"/>
      <c r="AL1199" s="147"/>
      <c r="AM1199" s="147"/>
      <c r="AN1199" s="147"/>
      <c r="AO1199" s="147"/>
      <c r="AP1199" s="147"/>
      <c r="AQ1199" s="147"/>
      <c r="AR1199" s="147"/>
      <c r="AS1199" s="147"/>
      <c r="AT1199" s="147"/>
      <c r="AU1199" s="147"/>
      <c r="AV1199" s="147"/>
      <c r="AW1199" s="147"/>
      <c r="AX1199" s="147"/>
      <c r="AY1199" s="147"/>
      <c r="AZ1199" s="147"/>
      <c r="BA1199" s="147"/>
      <c r="BB1199" s="147"/>
      <c r="BC1199" s="147"/>
      <c r="BD1199" s="147"/>
      <c r="BE1199" s="147"/>
      <c r="BF1199" s="147"/>
      <c r="BG1199" s="147"/>
      <c r="BH1199" s="147"/>
      <c r="BI1199" s="147"/>
      <c r="BJ1199" s="147"/>
      <c r="BK1199" s="147"/>
      <c r="BL1199" s="147"/>
      <c r="BM1199" s="147"/>
      <c r="BN1199" s="147"/>
      <c r="BO1199" s="147"/>
      <c r="BP1199" s="147"/>
      <c r="BQ1199" s="147"/>
      <c r="BR1199" s="147"/>
      <c r="BS1199" s="147"/>
      <c r="BT1199" s="147"/>
      <c r="BU1199" s="147"/>
      <c r="BV1199" s="147"/>
      <c r="BW1199" s="147"/>
      <c r="BX1199" s="147"/>
      <c r="BY1199" s="147"/>
      <c r="BZ1199" s="147"/>
      <c r="CA1199" s="147"/>
      <c r="CB1199" s="147"/>
      <c r="CC1199" s="147"/>
      <c r="CD1199" s="147"/>
      <c r="CE1199" s="147"/>
      <c r="CF1199" s="147"/>
      <c r="CG1199" s="147"/>
      <c r="CH1199" s="147"/>
      <c r="CI1199" s="147"/>
      <c r="CJ1199" s="147"/>
      <c r="CK1199" s="147"/>
    </row>
    <row r="1200" spans="1:89">
      <c r="A1200" s="147"/>
      <c r="B1200" s="147"/>
      <c r="C1200" s="147"/>
      <c r="D1200" s="147"/>
      <c r="E1200" s="147"/>
      <c r="F1200" s="147"/>
      <c r="G1200" s="147"/>
      <c r="H1200" s="147"/>
      <c r="I1200" s="147"/>
      <c r="J1200" s="147"/>
      <c r="K1200" s="147"/>
      <c r="L1200" s="147"/>
      <c r="M1200" s="147"/>
      <c r="N1200" s="147"/>
      <c r="O1200" s="158"/>
      <c r="P1200" s="147"/>
      <c r="Q1200" s="147"/>
      <c r="R1200" s="147"/>
      <c r="S1200" s="147"/>
      <c r="T1200" s="147"/>
      <c r="U1200" s="147"/>
      <c r="V1200" s="147"/>
      <c r="W1200" s="147"/>
      <c r="X1200" s="147"/>
      <c r="Y1200" s="147"/>
      <c r="Z1200" s="147"/>
      <c r="AA1200" s="147"/>
      <c r="AB1200" s="147"/>
      <c r="AC1200" s="147"/>
      <c r="AD1200" s="147"/>
      <c r="AE1200" s="147"/>
      <c r="AF1200" s="147"/>
      <c r="AG1200" s="147"/>
      <c r="AH1200" s="147"/>
      <c r="AI1200" s="147"/>
      <c r="AJ1200" s="147"/>
      <c r="AK1200" s="147"/>
      <c r="AL1200" s="147"/>
      <c r="AM1200" s="147"/>
      <c r="AN1200" s="147"/>
      <c r="AO1200" s="147"/>
      <c r="AP1200" s="147"/>
      <c r="AQ1200" s="147"/>
      <c r="AR1200" s="147"/>
      <c r="AS1200" s="147"/>
      <c r="AT1200" s="147"/>
      <c r="AU1200" s="147"/>
      <c r="AV1200" s="147"/>
      <c r="AW1200" s="147"/>
      <c r="AX1200" s="147"/>
      <c r="AY1200" s="147"/>
      <c r="AZ1200" s="147"/>
      <c r="BA1200" s="147"/>
      <c r="BB1200" s="147"/>
      <c r="BC1200" s="147"/>
      <c r="BD1200" s="147"/>
      <c r="BE1200" s="147"/>
      <c r="BF1200" s="147"/>
      <c r="BG1200" s="147"/>
      <c r="BH1200" s="147"/>
      <c r="BI1200" s="147"/>
      <c r="BJ1200" s="147"/>
      <c r="BK1200" s="147"/>
      <c r="BL1200" s="147"/>
      <c r="BM1200" s="147"/>
      <c r="BN1200" s="147"/>
      <c r="BO1200" s="147"/>
      <c r="BP1200" s="147"/>
      <c r="BQ1200" s="147"/>
      <c r="BR1200" s="147"/>
      <c r="BS1200" s="147"/>
      <c r="BT1200" s="147"/>
      <c r="BU1200" s="147"/>
      <c r="BV1200" s="147"/>
      <c r="BW1200" s="147"/>
      <c r="BX1200" s="147"/>
      <c r="BY1200" s="147"/>
      <c r="BZ1200" s="147"/>
      <c r="CA1200" s="147"/>
      <c r="CB1200" s="147"/>
      <c r="CC1200" s="147"/>
      <c r="CD1200" s="147"/>
      <c r="CE1200" s="147"/>
      <c r="CF1200" s="147"/>
      <c r="CG1200" s="147"/>
      <c r="CH1200" s="147"/>
      <c r="CI1200" s="147"/>
      <c r="CJ1200" s="147"/>
      <c r="CK1200" s="147"/>
    </row>
    <row r="1201" spans="1:89">
      <c r="A1201" s="147"/>
      <c r="B1201" s="147"/>
      <c r="C1201" s="147"/>
      <c r="D1201" s="147"/>
      <c r="E1201" s="147"/>
      <c r="F1201" s="147"/>
      <c r="G1201" s="147"/>
      <c r="H1201" s="147"/>
      <c r="I1201" s="147"/>
      <c r="J1201" s="147"/>
      <c r="K1201" s="147"/>
      <c r="L1201" s="147"/>
      <c r="M1201" s="147"/>
      <c r="N1201" s="147"/>
      <c r="O1201" s="158"/>
      <c r="P1201" s="147"/>
      <c r="Q1201" s="147"/>
      <c r="R1201" s="147"/>
      <c r="S1201" s="147"/>
      <c r="T1201" s="147"/>
      <c r="U1201" s="147"/>
      <c r="V1201" s="147"/>
      <c r="W1201" s="147"/>
      <c r="X1201" s="147"/>
      <c r="Y1201" s="147"/>
      <c r="Z1201" s="147"/>
      <c r="AA1201" s="147"/>
      <c r="AB1201" s="147"/>
      <c r="AC1201" s="147"/>
      <c r="AD1201" s="147"/>
      <c r="AE1201" s="147"/>
      <c r="AF1201" s="147"/>
      <c r="AG1201" s="147"/>
      <c r="AH1201" s="147"/>
      <c r="AI1201" s="147"/>
      <c r="AJ1201" s="147"/>
      <c r="AK1201" s="147"/>
      <c r="AL1201" s="147"/>
      <c r="AM1201" s="147"/>
      <c r="AN1201" s="147"/>
      <c r="AO1201" s="147"/>
      <c r="AP1201" s="147"/>
      <c r="AQ1201" s="147"/>
      <c r="AR1201" s="147"/>
      <c r="AS1201" s="147"/>
      <c r="AT1201" s="147"/>
      <c r="AU1201" s="147"/>
      <c r="AV1201" s="147"/>
      <c r="AW1201" s="147"/>
      <c r="AX1201" s="147"/>
      <c r="AY1201" s="147"/>
      <c r="AZ1201" s="147"/>
      <c r="BA1201" s="147"/>
      <c r="BB1201" s="147"/>
      <c r="BC1201" s="147"/>
      <c r="BD1201" s="147"/>
      <c r="BE1201" s="147"/>
      <c r="BF1201" s="147"/>
      <c r="BG1201" s="147"/>
      <c r="BH1201" s="147"/>
      <c r="BI1201" s="147"/>
      <c r="BJ1201" s="147"/>
      <c r="BK1201" s="147"/>
      <c r="BL1201" s="147"/>
      <c r="BM1201" s="147"/>
      <c r="BN1201" s="147"/>
      <c r="BO1201" s="147"/>
      <c r="BP1201" s="147"/>
      <c r="BQ1201" s="147"/>
      <c r="BR1201" s="147"/>
      <c r="BS1201" s="147"/>
      <c r="BT1201" s="147"/>
      <c r="BU1201" s="147"/>
      <c r="BV1201" s="147"/>
      <c r="BW1201" s="147"/>
      <c r="BX1201" s="147"/>
      <c r="BY1201" s="147"/>
      <c r="BZ1201" s="147"/>
      <c r="CA1201" s="147"/>
      <c r="CB1201" s="147"/>
      <c r="CC1201" s="147"/>
      <c r="CD1201" s="147"/>
      <c r="CE1201" s="147"/>
      <c r="CF1201" s="147"/>
      <c r="CG1201" s="147"/>
      <c r="CH1201" s="147"/>
      <c r="CI1201" s="147"/>
      <c r="CJ1201" s="147"/>
      <c r="CK1201" s="147"/>
    </row>
    <row r="1202" spans="1:89">
      <c r="A1202" s="147"/>
      <c r="B1202" s="147"/>
      <c r="C1202" s="147"/>
      <c r="D1202" s="147"/>
      <c r="E1202" s="147"/>
      <c r="F1202" s="147"/>
      <c r="G1202" s="147"/>
      <c r="H1202" s="147"/>
      <c r="I1202" s="147"/>
      <c r="J1202" s="147"/>
      <c r="K1202" s="147"/>
      <c r="L1202" s="147"/>
      <c r="M1202" s="147"/>
      <c r="N1202" s="147"/>
      <c r="O1202" s="158"/>
      <c r="P1202" s="147"/>
      <c r="Q1202" s="147"/>
      <c r="R1202" s="147"/>
      <c r="S1202" s="147"/>
      <c r="T1202" s="147"/>
      <c r="U1202" s="147"/>
      <c r="V1202" s="147"/>
      <c r="W1202" s="147"/>
      <c r="X1202" s="147"/>
      <c r="Y1202" s="147"/>
      <c r="Z1202" s="147"/>
      <c r="AA1202" s="147"/>
      <c r="AB1202" s="147"/>
      <c r="AC1202" s="147"/>
      <c r="AD1202" s="147"/>
      <c r="AE1202" s="147"/>
      <c r="AF1202" s="147"/>
      <c r="AG1202" s="147"/>
      <c r="AH1202" s="147"/>
      <c r="AI1202" s="147"/>
      <c r="AJ1202" s="147"/>
      <c r="AK1202" s="147"/>
      <c r="AL1202" s="147"/>
      <c r="AM1202" s="147"/>
      <c r="AN1202" s="147"/>
      <c r="AO1202" s="147"/>
      <c r="AP1202" s="147"/>
      <c r="AQ1202" s="147"/>
      <c r="AR1202" s="147"/>
      <c r="AS1202" s="147"/>
      <c r="AT1202" s="147"/>
      <c r="AU1202" s="147"/>
      <c r="AV1202" s="147"/>
      <c r="AW1202" s="147"/>
      <c r="AX1202" s="147"/>
      <c r="AY1202" s="147"/>
      <c r="AZ1202" s="147"/>
      <c r="BA1202" s="147"/>
      <c r="BB1202" s="147"/>
      <c r="BC1202" s="147"/>
      <c r="BD1202" s="147"/>
      <c r="BE1202" s="147"/>
      <c r="BF1202" s="147"/>
      <c r="BG1202" s="147"/>
      <c r="BH1202" s="147"/>
      <c r="BI1202" s="147"/>
      <c r="BJ1202" s="147"/>
      <c r="BK1202" s="147"/>
      <c r="BL1202" s="147"/>
      <c r="BM1202" s="147"/>
      <c r="BN1202" s="147"/>
      <c r="BO1202" s="147"/>
      <c r="BP1202" s="147"/>
      <c r="BQ1202" s="147"/>
      <c r="BR1202" s="147"/>
      <c r="BS1202" s="147"/>
      <c r="BT1202" s="147"/>
      <c r="BU1202" s="147"/>
      <c r="BV1202" s="147"/>
      <c r="BW1202" s="147"/>
      <c r="BX1202" s="147"/>
      <c r="BY1202" s="147"/>
      <c r="BZ1202" s="147"/>
      <c r="CA1202" s="147"/>
      <c r="CB1202" s="147"/>
      <c r="CC1202" s="147"/>
      <c r="CD1202" s="147"/>
      <c r="CE1202" s="147"/>
      <c r="CF1202" s="147"/>
      <c r="CG1202" s="147"/>
      <c r="CH1202" s="147"/>
      <c r="CI1202" s="147"/>
      <c r="CJ1202" s="147"/>
      <c r="CK1202" s="147"/>
    </row>
    <row r="1203" spans="1:89">
      <c r="A1203" s="147"/>
      <c r="B1203" s="147"/>
      <c r="C1203" s="147"/>
      <c r="D1203" s="147"/>
      <c r="E1203" s="147"/>
      <c r="F1203" s="147"/>
      <c r="G1203" s="147"/>
      <c r="H1203" s="147"/>
      <c r="I1203" s="147"/>
      <c r="J1203" s="147"/>
      <c r="K1203" s="147"/>
      <c r="L1203" s="147"/>
      <c r="M1203" s="147"/>
      <c r="N1203" s="147"/>
      <c r="O1203" s="158"/>
      <c r="P1203" s="147"/>
      <c r="Q1203" s="147"/>
      <c r="R1203" s="147"/>
      <c r="S1203" s="147"/>
      <c r="T1203" s="147"/>
      <c r="U1203" s="147"/>
      <c r="V1203" s="147"/>
      <c r="W1203" s="147"/>
      <c r="X1203" s="147"/>
      <c r="Y1203" s="147"/>
      <c r="Z1203" s="147"/>
      <c r="AA1203" s="147"/>
      <c r="AB1203" s="147"/>
      <c r="AC1203" s="147"/>
      <c r="AD1203" s="147"/>
      <c r="AE1203" s="147"/>
      <c r="AF1203" s="147"/>
      <c r="AG1203" s="147"/>
      <c r="AH1203" s="147"/>
      <c r="AI1203" s="147"/>
      <c r="AJ1203" s="147"/>
      <c r="AK1203" s="147"/>
      <c r="AL1203" s="147"/>
      <c r="AM1203" s="147"/>
      <c r="AN1203" s="147"/>
      <c r="AO1203" s="147"/>
      <c r="AP1203" s="147"/>
      <c r="AQ1203" s="147"/>
      <c r="AR1203" s="147"/>
      <c r="AS1203" s="147"/>
      <c r="AT1203" s="147"/>
      <c r="AU1203" s="147"/>
      <c r="AV1203" s="147"/>
      <c r="AW1203" s="147"/>
      <c r="AX1203" s="147"/>
      <c r="AY1203" s="147"/>
      <c r="AZ1203" s="147"/>
      <c r="BA1203" s="147"/>
      <c r="BB1203" s="147"/>
      <c r="BC1203" s="147"/>
      <c r="BD1203" s="147"/>
      <c r="BE1203" s="147"/>
      <c r="BF1203" s="147"/>
      <c r="BG1203" s="147"/>
      <c r="BH1203" s="147"/>
      <c r="BI1203" s="147"/>
      <c r="BJ1203" s="147"/>
      <c r="BK1203" s="147"/>
      <c r="BL1203" s="147"/>
      <c r="BM1203" s="147"/>
      <c r="BN1203" s="147"/>
      <c r="BO1203" s="147"/>
      <c r="BP1203" s="147"/>
      <c r="BQ1203" s="147"/>
      <c r="BR1203" s="147"/>
      <c r="BS1203" s="147"/>
      <c r="BT1203" s="147"/>
      <c r="BU1203" s="147"/>
      <c r="BV1203" s="147"/>
      <c r="BW1203" s="147"/>
      <c r="BX1203" s="147"/>
      <c r="BY1203" s="147"/>
      <c r="BZ1203" s="147"/>
      <c r="CA1203" s="147"/>
      <c r="CB1203" s="147"/>
      <c r="CC1203" s="147"/>
      <c r="CD1203" s="147"/>
      <c r="CE1203" s="147"/>
      <c r="CF1203" s="147"/>
      <c r="CG1203" s="147"/>
      <c r="CH1203" s="147"/>
      <c r="CI1203" s="147"/>
      <c r="CJ1203" s="147"/>
      <c r="CK1203" s="147"/>
    </row>
    <row r="1204" spans="1:89">
      <c r="A1204" s="147"/>
      <c r="B1204" s="147"/>
      <c r="C1204" s="147"/>
      <c r="D1204" s="147"/>
      <c r="E1204" s="147"/>
      <c r="F1204" s="147"/>
      <c r="G1204" s="147"/>
      <c r="H1204" s="147"/>
      <c r="I1204" s="147"/>
      <c r="J1204" s="147"/>
      <c r="K1204" s="147"/>
      <c r="L1204" s="147"/>
      <c r="M1204" s="147"/>
      <c r="N1204" s="147"/>
      <c r="O1204" s="158"/>
      <c r="P1204" s="147"/>
      <c r="Q1204" s="147"/>
      <c r="R1204" s="147"/>
      <c r="S1204" s="147"/>
      <c r="T1204" s="147"/>
      <c r="U1204" s="147"/>
      <c r="V1204" s="147"/>
      <c r="W1204" s="147"/>
      <c r="X1204" s="147"/>
      <c r="Y1204" s="147"/>
      <c r="Z1204" s="147"/>
      <c r="AA1204" s="147"/>
      <c r="AB1204" s="147"/>
      <c r="AC1204" s="147"/>
      <c r="AD1204" s="147"/>
      <c r="AE1204" s="147"/>
      <c r="AF1204" s="147"/>
      <c r="AG1204" s="147"/>
      <c r="AH1204" s="147"/>
      <c r="AI1204" s="147"/>
      <c r="AJ1204" s="147"/>
      <c r="AK1204" s="147"/>
      <c r="AL1204" s="147"/>
      <c r="AM1204" s="147"/>
      <c r="AN1204" s="147"/>
      <c r="AO1204" s="147"/>
      <c r="AP1204" s="147"/>
      <c r="AQ1204" s="147"/>
      <c r="AR1204" s="147"/>
      <c r="AS1204" s="147"/>
      <c r="AT1204" s="147"/>
      <c r="AU1204" s="147"/>
      <c r="AV1204" s="147"/>
      <c r="AW1204" s="147"/>
      <c r="AX1204" s="147"/>
      <c r="AY1204" s="147"/>
      <c r="AZ1204" s="147"/>
      <c r="BA1204" s="147"/>
      <c r="BB1204" s="147"/>
      <c r="BC1204" s="147"/>
      <c r="BD1204" s="147"/>
      <c r="BE1204" s="147"/>
      <c r="BF1204" s="147"/>
      <c r="BG1204" s="147"/>
      <c r="BH1204" s="147"/>
      <c r="BI1204" s="147"/>
      <c r="BJ1204" s="147"/>
      <c r="BK1204" s="147"/>
      <c r="BL1204" s="147"/>
      <c r="BM1204" s="147"/>
      <c r="BN1204" s="147"/>
      <c r="BO1204" s="147"/>
      <c r="BP1204" s="147"/>
      <c r="BQ1204" s="147"/>
      <c r="BR1204" s="147"/>
      <c r="BS1204" s="147"/>
      <c r="BT1204" s="147"/>
      <c r="BU1204" s="147"/>
      <c r="BV1204" s="147"/>
      <c r="BW1204" s="147"/>
      <c r="BX1204" s="147"/>
      <c r="BY1204" s="147"/>
      <c r="BZ1204" s="147"/>
      <c r="CA1204" s="147"/>
      <c r="CB1204" s="147"/>
      <c r="CC1204" s="147"/>
      <c r="CD1204" s="147"/>
      <c r="CE1204" s="147"/>
      <c r="CF1204" s="147"/>
      <c r="CG1204" s="147"/>
      <c r="CH1204" s="147"/>
      <c r="CI1204" s="147"/>
      <c r="CJ1204" s="147"/>
      <c r="CK1204" s="147"/>
    </row>
    <row r="1205" spans="1:89">
      <c r="A1205" s="147"/>
      <c r="B1205" s="147"/>
      <c r="C1205" s="147"/>
      <c r="D1205" s="147"/>
      <c r="E1205" s="147"/>
      <c r="F1205" s="147"/>
      <c r="G1205" s="147"/>
      <c r="H1205" s="147"/>
      <c r="I1205" s="147"/>
      <c r="J1205" s="147"/>
      <c r="K1205" s="147"/>
      <c r="L1205" s="147"/>
      <c r="M1205" s="147"/>
      <c r="N1205" s="147"/>
      <c r="O1205" s="158"/>
      <c r="P1205" s="147"/>
      <c r="Q1205" s="147"/>
      <c r="R1205" s="147"/>
      <c r="S1205" s="147"/>
      <c r="T1205" s="147"/>
      <c r="U1205" s="147"/>
      <c r="V1205" s="147"/>
      <c r="W1205" s="147"/>
      <c r="X1205" s="147"/>
      <c r="Y1205" s="147"/>
      <c r="Z1205" s="147"/>
      <c r="AA1205" s="147"/>
      <c r="AB1205" s="147"/>
      <c r="AC1205" s="147"/>
      <c r="AD1205" s="147"/>
      <c r="AE1205" s="147"/>
      <c r="AF1205" s="147"/>
      <c r="AG1205" s="147"/>
      <c r="AH1205" s="147"/>
      <c r="AI1205" s="147"/>
      <c r="AJ1205" s="147"/>
      <c r="AK1205" s="147"/>
      <c r="AL1205" s="147"/>
      <c r="AM1205" s="147"/>
      <c r="AN1205" s="147"/>
      <c r="AO1205" s="147"/>
      <c r="AP1205" s="147"/>
      <c r="AQ1205" s="147"/>
      <c r="AR1205" s="147"/>
      <c r="AS1205" s="147"/>
      <c r="AT1205" s="147"/>
      <c r="AU1205" s="147"/>
      <c r="AV1205" s="147"/>
      <c r="AW1205" s="147"/>
      <c r="AX1205" s="147"/>
      <c r="AY1205" s="147"/>
      <c r="AZ1205" s="147"/>
      <c r="BA1205" s="147"/>
      <c r="BB1205" s="147"/>
      <c r="BC1205" s="147"/>
      <c r="BD1205" s="147"/>
      <c r="BE1205" s="147"/>
      <c r="BF1205" s="147"/>
      <c r="BG1205" s="147"/>
      <c r="BH1205" s="147"/>
      <c r="BI1205" s="147"/>
      <c r="BJ1205" s="147"/>
      <c r="BK1205" s="147"/>
      <c r="BL1205" s="147"/>
      <c r="BM1205" s="147"/>
      <c r="BN1205" s="147"/>
      <c r="BO1205" s="147"/>
      <c r="BP1205" s="147"/>
      <c r="BQ1205" s="147"/>
      <c r="BR1205" s="147"/>
      <c r="BS1205" s="147"/>
      <c r="BT1205" s="147"/>
      <c r="BU1205" s="147"/>
      <c r="BV1205" s="147"/>
      <c r="BW1205" s="147"/>
      <c r="BX1205" s="147"/>
      <c r="BY1205" s="147"/>
      <c r="BZ1205" s="147"/>
      <c r="CA1205" s="147"/>
      <c r="CB1205" s="147"/>
      <c r="CC1205" s="147"/>
      <c r="CD1205" s="147"/>
      <c r="CE1205" s="147"/>
      <c r="CF1205" s="147"/>
      <c r="CG1205" s="147"/>
      <c r="CH1205" s="147"/>
      <c r="CI1205" s="147"/>
      <c r="CJ1205" s="147"/>
      <c r="CK1205" s="147"/>
    </row>
    <row r="1206" spans="1:89">
      <c r="A1206" s="147"/>
      <c r="B1206" s="147"/>
      <c r="C1206" s="147"/>
      <c r="D1206" s="147"/>
      <c r="E1206" s="147"/>
      <c r="F1206" s="147"/>
      <c r="G1206" s="147"/>
      <c r="H1206" s="147"/>
      <c r="I1206" s="147"/>
      <c r="J1206" s="147"/>
      <c r="K1206" s="147"/>
      <c r="L1206" s="147"/>
      <c r="M1206" s="147"/>
      <c r="N1206" s="147"/>
      <c r="O1206" s="158"/>
      <c r="P1206" s="147"/>
      <c r="Q1206" s="147"/>
      <c r="R1206" s="147"/>
      <c r="S1206" s="147"/>
      <c r="T1206" s="147"/>
      <c r="U1206" s="147"/>
      <c r="V1206" s="147"/>
      <c r="W1206" s="147"/>
      <c r="X1206" s="147"/>
      <c r="Y1206" s="147"/>
      <c r="Z1206" s="147"/>
      <c r="AA1206" s="147"/>
      <c r="AB1206" s="147"/>
      <c r="AC1206" s="147"/>
      <c r="AD1206" s="147"/>
      <c r="AE1206" s="147"/>
      <c r="AF1206" s="147"/>
      <c r="AG1206" s="147"/>
      <c r="AH1206" s="147"/>
      <c r="AI1206" s="147"/>
      <c r="AJ1206" s="147"/>
      <c r="AK1206" s="147"/>
      <c r="AL1206" s="147"/>
      <c r="AM1206" s="147"/>
      <c r="AN1206" s="147"/>
      <c r="AO1206" s="147"/>
      <c r="AP1206" s="147"/>
      <c r="AQ1206" s="147"/>
      <c r="AR1206" s="147"/>
      <c r="AS1206" s="147"/>
      <c r="AT1206" s="147"/>
      <c r="AU1206" s="147"/>
      <c r="AV1206" s="147"/>
      <c r="AW1206" s="147"/>
      <c r="AX1206" s="147"/>
      <c r="AY1206" s="147"/>
      <c r="AZ1206" s="147"/>
      <c r="BA1206" s="147"/>
      <c r="BB1206" s="147"/>
      <c r="BC1206" s="147"/>
      <c r="BD1206" s="147"/>
      <c r="BE1206" s="147"/>
      <c r="BF1206" s="147"/>
      <c r="BG1206" s="147"/>
      <c r="BH1206" s="147"/>
      <c r="BI1206" s="147"/>
      <c r="BJ1206" s="147"/>
      <c r="BK1206" s="147"/>
      <c r="BL1206" s="147"/>
      <c r="BM1206" s="147"/>
      <c r="BN1206" s="147"/>
      <c r="BO1206" s="147"/>
      <c r="BP1206" s="147"/>
      <c r="BQ1206" s="147"/>
      <c r="BR1206" s="147"/>
      <c r="BS1206" s="147"/>
      <c r="BT1206" s="147"/>
      <c r="BU1206" s="147"/>
      <c r="BV1206" s="147"/>
      <c r="BW1206" s="147"/>
      <c r="BX1206" s="147"/>
      <c r="BY1206" s="147"/>
      <c r="BZ1206" s="147"/>
      <c r="CA1206" s="147"/>
      <c r="CB1206" s="147"/>
      <c r="CC1206" s="147"/>
      <c r="CD1206" s="147"/>
      <c r="CE1206" s="147"/>
      <c r="CF1206" s="147"/>
      <c r="CG1206" s="147"/>
      <c r="CH1206" s="147"/>
      <c r="CI1206" s="147"/>
      <c r="CJ1206" s="147"/>
      <c r="CK1206" s="147"/>
    </row>
    <row r="1207" spans="1:89">
      <c r="A1207" s="147"/>
      <c r="B1207" s="147"/>
      <c r="C1207" s="147"/>
      <c r="D1207" s="147"/>
      <c r="E1207" s="147"/>
      <c r="F1207" s="147"/>
      <c r="G1207" s="147"/>
      <c r="H1207" s="147"/>
      <c r="I1207" s="147"/>
      <c r="J1207" s="147"/>
      <c r="K1207" s="147"/>
      <c r="L1207" s="147"/>
      <c r="M1207" s="147"/>
      <c r="N1207" s="147"/>
      <c r="O1207" s="158"/>
      <c r="P1207" s="147"/>
      <c r="Q1207" s="147"/>
      <c r="R1207" s="147"/>
      <c r="S1207" s="147"/>
      <c r="T1207" s="147"/>
      <c r="U1207" s="147"/>
      <c r="V1207" s="147"/>
      <c r="W1207" s="147"/>
      <c r="X1207" s="147"/>
      <c r="Y1207" s="147"/>
      <c r="Z1207" s="147"/>
      <c r="AA1207" s="147"/>
      <c r="AB1207" s="147"/>
      <c r="AC1207" s="147"/>
      <c r="AD1207" s="147"/>
      <c r="AE1207" s="147"/>
      <c r="AF1207" s="147"/>
      <c r="AG1207" s="147"/>
      <c r="AH1207" s="147"/>
      <c r="AI1207" s="147"/>
      <c r="AJ1207" s="147"/>
      <c r="AK1207" s="147"/>
      <c r="AL1207" s="147"/>
      <c r="AM1207" s="147"/>
      <c r="AN1207" s="147"/>
      <c r="AO1207" s="147"/>
      <c r="AP1207" s="147"/>
      <c r="AQ1207" s="147"/>
      <c r="AR1207" s="147"/>
      <c r="AS1207" s="147"/>
      <c r="AT1207" s="147"/>
      <c r="AU1207" s="147"/>
      <c r="AV1207" s="147"/>
      <c r="AW1207" s="147"/>
      <c r="AX1207" s="147"/>
      <c r="AY1207" s="147"/>
      <c r="AZ1207" s="147"/>
      <c r="BA1207" s="147"/>
      <c r="BB1207" s="147"/>
      <c r="BC1207" s="147"/>
      <c r="BD1207" s="147"/>
      <c r="BE1207" s="147"/>
      <c r="BF1207" s="147"/>
      <c r="BG1207" s="147"/>
      <c r="BH1207" s="147"/>
      <c r="BI1207" s="147"/>
      <c r="BJ1207" s="147"/>
      <c r="BK1207" s="147"/>
      <c r="BL1207" s="147"/>
      <c r="BM1207" s="147"/>
      <c r="BN1207" s="147"/>
      <c r="BO1207" s="147"/>
      <c r="BP1207" s="147"/>
      <c r="BQ1207" s="147"/>
      <c r="BR1207" s="147"/>
      <c r="BS1207" s="147"/>
      <c r="BT1207" s="147"/>
      <c r="BU1207" s="147"/>
      <c r="BV1207" s="147"/>
      <c r="BW1207" s="147"/>
      <c r="BX1207" s="147"/>
      <c r="BY1207" s="147"/>
      <c r="BZ1207" s="147"/>
      <c r="CA1207" s="147"/>
      <c r="CB1207" s="147"/>
      <c r="CC1207" s="147"/>
      <c r="CD1207" s="147"/>
      <c r="CE1207" s="147"/>
      <c r="CF1207" s="147"/>
      <c r="CG1207" s="147"/>
      <c r="CH1207" s="147"/>
      <c r="CI1207" s="147"/>
      <c r="CJ1207" s="147"/>
      <c r="CK1207" s="147"/>
    </row>
    <row r="1208" spans="1:89">
      <c r="A1208" s="147"/>
      <c r="B1208" s="147"/>
      <c r="C1208" s="147"/>
      <c r="D1208" s="147"/>
      <c r="E1208" s="147"/>
      <c r="F1208" s="147"/>
      <c r="G1208" s="147"/>
      <c r="H1208" s="147"/>
      <c r="I1208" s="147"/>
      <c r="J1208" s="147"/>
      <c r="K1208" s="147"/>
      <c r="L1208" s="147"/>
      <c r="M1208" s="147"/>
      <c r="N1208" s="147"/>
      <c r="O1208" s="158"/>
      <c r="P1208" s="147"/>
      <c r="Q1208" s="147"/>
      <c r="R1208" s="147"/>
      <c r="S1208" s="147"/>
      <c r="T1208" s="147"/>
      <c r="U1208" s="147"/>
      <c r="V1208" s="147"/>
      <c r="W1208" s="147"/>
      <c r="X1208" s="147"/>
      <c r="Y1208" s="147"/>
      <c r="Z1208" s="147"/>
      <c r="AA1208" s="147"/>
      <c r="AB1208" s="147"/>
      <c r="AC1208" s="147"/>
      <c r="AD1208" s="147"/>
      <c r="AE1208" s="147"/>
      <c r="AF1208" s="147"/>
      <c r="AG1208" s="147"/>
      <c r="AH1208" s="147"/>
      <c r="AI1208" s="147"/>
      <c r="AJ1208" s="147"/>
      <c r="AK1208" s="147"/>
      <c r="AL1208" s="147"/>
      <c r="AM1208" s="147"/>
      <c r="AN1208" s="147"/>
      <c r="AO1208" s="147"/>
      <c r="AP1208" s="147"/>
      <c r="AQ1208" s="147"/>
      <c r="AR1208" s="147"/>
      <c r="AS1208" s="147"/>
      <c r="AT1208" s="147"/>
      <c r="AU1208" s="147"/>
      <c r="AV1208" s="147"/>
      <c r="AW1208" s="147"/>
      <c r="AX1208" s="147"/>
      <c r="AY1208" s="147"/>
      <c r="AZ1208" s="147"/>
      <c r="BA1208" s="147"/>
      <c r="BB1208" s="147"/>
      <c r="BC1208" s="147"/>
      <c r="BD1208" s="147"/>
      <c r="BE1208" s="147"/>
      <c r="BF1208" s="147"/>
      <c r="BG1208" s="147"/>
      <c r="BH1208" s="147"/>
      <c r="BI1208" s="147"/>
      <c r="BJ1208" s="147"/>
      <c r="BK1208" s="147"/>
      <c r="BL1208" s="147"/>
      <c r="BM1208" s="147"/>
      <c r="BN1208" s="147"/>
      <c r="BO1208" s="147"/>
      <c r="BP1208" s="147"/>
      <c r="BQ1208" s="147"/>
      <c r="BR1208" s="147"/>
      <c r="BS1208" s="147"/>
      <c r="BT1208" s="147"/>
      <c r="BU1208" s="147"/>
      <c r="BV1208" s="147"/>
      <c r="BW1208" s="147"/>
      <c r="BX1208" s="147"/>
      <c r="BY1208" s="147"/>
      <c r="BZ1208" s="147"/>
      <c r="CA1208" s="147"/>
      <c r="CB1208" s="147"/>
      <c r="CC1208" s="147"/>
      <c r="CD1208" s="147"/>
      <c r="CE1208" s="147"/>
      <c r="CF1208" s="147"/>
      <c r="CG1208" s="147"/>
      <c r="CH1208" s="147"/>
      <c r="CI1208" s="147"/>
      <c r="CJ1208" s="147"/>
      <c r="CK1208" s="147"/>
    </row>
    <row r="1209" spans="1:89">
      <c r="A1209" s="147"/>
      <c r="B1209" s="147"/>
      <c r="C1209" s="147"/>
      <c r="D1209" s="147"/>
      <c r="E1209" s="147"/>
      <c r="F1209" s="147"/>
      <c r="G1209" s="147"/>
      <c r="H1209" s="147"/>
      <c r="I1209" s="147"/>
      <c r="J1209" s="147"/>
      <c r="K1209" s="147"/>
      <c r="L1209" s="147"/>
      <c r="M1209" s="147"/>
      <c r="N1209" s="147"/>
      <c r="O1209" s="158"/>
      <c r="P1209" s="147"/>
      <c r="Q1209" s="147"/>
      <c r="R1209" s="147"/>
      <c r="S1209" s="147"/>
      <c r="T1209" s="147"/>
      <c r="U1209" s="147"/>
      <c r="V1209" s="147"/>
      <c r="W1209" s="147"/>
      <c r="X1209" s="147"/>
      <c r="Y1209" s="147"/>
      <c r="Z1209" s="147"/>
      <c r="AA1209" s="147"/>
      <c r="AB1209" s="147"/>
      <c r="AC1209" s="147"/>
      <c r="AD1209" s="147"/>
      <c r="AE1209" s="147"/>
      <c r="AF1209" s="147"/>
      <c r="AG1209" s="147"/>
      <c r="AH1209" s="147"/>
      <c r="AI1209" s="147"/>
      <c r="AJ1209" s="147"/>
      <c r="AK1209" s="147"/>
      <c r="AL1209" s="147"/>
      <c r="AM1209" s="147"/>
      <c r="AN1209" s="147"/>
      <c r="AO1209" s="147"/>
      <c r="AP1209" s="147"/>
      <c r="AQ1209" s="147"/>
      <c r="AR1209" s="147"/>
      <c r="AS1209" s="147"/>
      <c r="AT1209" s="147"/>
      <c r="AU1209" s="147"/>
      <c r="AV1209" s="147"/>
      <c r="AW1209" s="147"/>
      <c r="AX1209" s="147"/>
      <c r="AY1209" s="147"/>
      <c r="AZ1209" s="147"/>
      <c r="BA1209" s="147"/>
      <c r="BB1209" s="147"/>
      <c r="BC1209" s="147"/>
      <c r="BD1209" s="147"/>
      <c r="BE1209" s="147"/>
      <c r="BF1209" s="147"/>
      <c r="BG1209" s="147"/>
      <c r="BH1209" s="147"/>
      <c r="BI1209" s="147"/>
      <c r="BJ1209" s="147"/>
      <c r="BK1209" s="147"/>
      <c r="BL1209" s="147"/>
      <c r="BM1209" s="147"/>
      <c r="BN1209" s="147"/>
      <c r="BO1209" s="147"/>
      <c r="BP1209" s="147"/>
      <c r="BQ1209" s="147"/>
      <c r="BR1209" s="147"/>
      <c r="BS1209" s="147"/>
      <c r="BT1209" s="147"/>
      <c r="BU1209" s="147"/>
      <c r="BV1209" s="147"/>
      <c r="BW1209" s="147"/>
      <c r="BX1209" s="147"/>
      <c r="BY1209" s="147"/>
      <c r="BZ1209" s="147"/>
      <c r="CA1209" s="147"/>
      <c r="CB1209" s="147"/>
      <c r="CC1209" s="147"/>
      <c r="CD1209" s="147"/>
      <c r="CE1209" s="147"/>
      <c r="CF1209" s="147"/>
      <c r="CG1209" s="147"/>
      <c r="CH1209" s="147"/>
      <c r="CI1209" s="147"/>
      <c r="CJ1209" s="147"/>
      <c r="CK1209" s="147"/>
    </row>
    <row r="1210" spans="1:89">
      <c r="A1210" s="147"/>
      <c r="B1210" s="147"/>
      <c r="C1210" s="147"/>
      <c r="D1210" s="147"/>
      <c r="E1210" s="147"/>
      <c r="F1210" s="147"/>
      <c r="G1210" s="147"/>
      <c r="H1210" s="147"/>
      <c r="I1210" s="147"/>
      <c r="J1210" s="147"/>
      <c r="K1210" s="147"/>
      <c r="L1210" s="147"/>
      <c r="M1210" s="147"/>
      <c r="N1210" s="147"/>
      <c r="O1210" s="158"/>
      <c r="P1210" s="147"/>
      <c r="Q1210" s="147"/>
      <c r="R1210" s="147"/>
      <c r="S1210" s="147"/>
      <c r="T1210" s="147"/>
      <c r="U1210" s="147"/>
      <c r="V1210" s="147"/>
      <c r="W1210" s="147"/>
      <c r="X1210" s="147"/>
      <c r="Y1210" s="147"/>
      <c r="Z1210" s="147"/>
      <c r="AA1210" s="147"/>
      <c r="AB1210" s="147"/>
      <c r="AC1210" s="147"/>
      <c r="AD1210" s="147"/>
      <c r="AE1210" s="147"/>
      <c r="AF1210" s="147"/>
      <c r="AG1210" s="147"/>
      <c r="AH1210" s="147"/>
      <c r="AI1210" s="147"/>
      <c r="AJ1210" s="147"/>
      <c r="AK1210" s="147"/>
      <c r="AL1210" s="147"/>
      <c r="AM1210" s="147"/>
      <c r="AN1210" s="147"/>
      <c r="AO1210" s="147"/>
      <c r="AP1210" s="147"/>
      <c r="AQ1210" s="147"/>
      <c r="AR1210" s="147"/>
      <c r="AS1210" s="147"/>
      <c r="AT1210" s="147"/>
      <c r="AU1210" s="147"/>
      <c r="AV1210" s="147"/>
      <c r="AW1210" s="147"/>
      <c r="AX1210" s="147"/>
      <c r="AY1210" s="147"/>
      <c r="AZ1210" s="147"/>
      <c r="BA1210" s="147"/>
      <c r="BB1210" s="147"/>
      <c r="BC1210" s="147"/>
      <c r="BD1210" s="147"/>
      <c r="BE1210" s="147"/>
      <c r="BF1210" s="147"/>
      <c r="BG1210" s="147"/>
      <c r="BH1210" s="147"/>
      <c r="BI1210" s="147"/>
      <c r="BJ1210" s="147"/>
      <c r="BK1210" s="147"/>
      <c r="BL1210" s="147"/>
      <c r="BM1210" s="147"/>
      <c r="BN1210" s="147"/>
      <c r="BO1210" s="147"/>
      <c r="BP1210" s="147"/>
      <c r="BQ1210" s="147"/>
      <c r="BR1210" s="147"/>
      <c r="BS1210" s="147"/>
      <c r="BT1210" s="147"/>
      <c r="BU1210" s="147"/>
      <c r="BV1210" s="147"/>
      <c r="BW1210" s="147"/>
      <c r="BX1210" s="147"/>
      <c r="BY1210" s="147"/>
      <c r="BZ1210" s="147"/>
      <c r="CA1210" s="147"/>
      <c r="CB1210" s="147"/>
      <c r="CC1210" s="147"/>
      <c r="CD1210" s="147"/>
      <c r="CE1210" s="147"/>
      <c r="CF1210" s="147"/>
      <c r="CG1210" s="147"/>
      <c r="CH1210" s="147"/>
      <c r="CI1210" s="147"/>
      <c r="CJ1210" s="147"/>
      <c r="CK1210" s="147"/>
    </row>
    <row r="1211" spans="1:89">
      <c r="A1211" s="147"/>
      <c r="B1211" s="147"/>
      <c r="C1211" s="147"/>
      <c r="D1211" s="147"/>
      <c r="E1211" s="147"/>
      <c r="F1211" s="147"/>
      <c r="G1211" s="147"/>
      <c r="H1211" s="147"/>
      <c r="I1211" s="147"/>
      <c r="J1211" s="147"/>
      <c r="K1211" s="147"/>
      <c r="L1211" s="147"/>
      <c r="M1211" s="147"/>
      <c r="N1211" s="147"/>
      <c r="O1211" s="158"/>
      <c r="P1211" s="147"/>
      <c r="Q1211" s="147"/>
      <c r="R1211" s="147"/>
      <c r="S1211" s="147"/>
      <c r="T1211" s="147"/>
      <c r="U1211" s="147"/>
      <c r="V1211" s="147"/>
      <c r="W1211" s="147"/>
      <c r="X1211" s="147"/>
      <c r="Y1211" s="147"/>
      <c r="Z1211" s="147"/>
      <c r="AA1211" s="147"/>
      <c r="AB1211" s="147"/>
      <c r="AC1211" s="147"/>
      <c r="AD1211" s="147"/>
      <c r="AE1211" s="147"/>
      <c r="AF1211" s="147"/>
      <c r="AG1211" s="147"/>
      <c r="AH1211" s="147"/>
      <c r="AI1211" s="147"/>
      <c r="AJ1211" s="147"/>
      <c r="AK1211" s="147"/>
      <c r="AL1211" s="147"/>
      <c r="AM1211" s="147"/>
      <c r="AN1211" s="147"/>
      <c r="AO1211" s="147"/>
      <c r="AP1211" s="147"/>
      <c r="AQ1211" s="147"/>
      <c r="AR1211" s="147"/>
      <c r="AS1211" s="147"/>
      <c r="AT1211" s="147"/>
      <c r="AU1211" s="147"/>
      <c r="AV1211" s="147"/>
      <c r="AW1211" s="147"/>
      <c r="AX1211" s="147"/>
      <c r="AY1211" s="147"/>
      <c r="AZ1211" s="147"/>
      <c r="BA1211" s="147"/>
      <c r="BB1211" s="147"/>
      <c r="BC1211" s="147"/>
      <c r="BD1211" s="147"/>
      <c r="BE1211" s="147"/>
      <c r="BF1211" s="147"/>
      <c r="BG1211" s="147"/>
      <c r="BH1211" s="147"/>
      <c r="BI1211" s="147"/>
      <c r="BJ1211" s="147"/>
      <c r="BK1211" s="147"/>
      <c r="BL1211" s="147"/>
      <c r="BM1211" s="147"/>
      <c r="BN1211" s="147"/>
      <c r="BO1211" s="147"/>
      <c r="BP1211" s="147"/>
      <c r="BQ1211" s="147"/>
      <c r="BR1211" s="147"/>
      <c r="BS1211" s="147"/>
      <c r="BT1211" s="147"/>
      <c r="BU1211" s="147"/>
      <c r="BV1211" s="147"/>
      <c r="BW1211" s="147"/>
      <c r="BX1211" s="147"/>
      <c r="BY1211" s="147"/>
      <c r="BZ1211" s="147"/>
      <c r="CA1211" s="147"/>
      <c r="CB1211" s="147"/>
      <c r="CC1211" s="147"/>
      <c r="CD1211" s="147"/>
      <c r="CE1211" s="147"/>
      <c r="CF1211" s="147"/>
      <c r="CG1211" s="147"/>
      <c r="CH1211" s="147"/>
      <c r="CI1211" s="147"/>
      <c r="CJ1211" s="147"/>
      <c r="CK1211" s="147"/>
    </row>
    <row r="1212" spans="1:89">
      <c r="A1212" s="147"/>
      <c r="B1212" s="147"/>
      <c r="C1212" s="147"/>
      <c r="D1212" s="147"/>
      <c r="E1212" s="147"/>
      <c r="F1212" s="147"/>
      <c r="G1212" s="147"/>
      <c r="H1212" s="147"/>
      <c r="I1212" s="147"/>
      <c r="J1212" s="147"/>
      <c r="K1212" s="147"/>
      <c r="L1212" s="147"/>
      <c r="M1212" s="147"/>
      <c r="N1212" s="147"/>
      <c r="O1212" s="158"/>
      <c r="P1212" s="147"/>
      <c r="Q1212" s="147"/>
      <c r="R1212" s="147"/>
      <c r="S1212" s="147"/>
      <c r="T1212" s="147"/>
      <c r="U1212" s="147"/>
      <c r="V1212" s="147"/>
      <c r="W1212" s="147"/>
      <c r="X1212" s="147"/>
      <c r="Y1212" s="147"/>
      <c r="Z1212" s="147"/>
      <c r="AA1212" s="147"/>
      <c r="AB1212" s="147"/>
      <c r="AC1212" s="147"/>
      <c r="AD1212" s="147"/>
      <c r="AE1212" s="147"/>
      <c r="AF1212" s="147"/>
      <c r="AG1212" s="147"/>
      <c r="AH1212" s="147"/>
      <c r="AI1212" s="147"/>
      <c r="AJ1212" s="147"/>
      <c r="AK1212" s="147"/>
      <c r="AL1212" s="147"/>
      <c r="AM1212" s="147"/>
      <c r="AN1212" s="147"/>
      <c r="AO1212" s="147"/>
      <c r="AP1212" s="147"/>
      <c r="AQ1212" s="147"/>
      <c r="AR1212" s="147"/>
      <c r="AS1212" s="147"/>
      <c r="AT1212" s="147"/>
      <c r="AU1212" s="147"/>
      <c r="AV1212" s="147"/>
      <c r="AW1212" s="147"/>
      <c r="AX1212" s="147"/>
      <c r="AY1212" s="147"/>
      <c r="AZ1212" s="147"/>
      <c r="BA1212" s="147"/>
      <c r="BB1212" s="147"/>
      <c r="BC1212" s="147"/>
      <c r="BD1212" s="147"/>
      <c r="BE1212" s="147"/>
      <c r="BF1212" s="147"/>
      <c r="BG1212" s="147"/>
      <c r="BH1212" s="147"/>
      <c r="BI1212" s="147"/>
      <c r="BJ1212" s="147"/>
      <c r="BK1212" s="147"/>
      <c r="BL1212" s="147"/>
      <c r="BM1212" s="147"/>
      <c r="BN1212" s="147"/>
      <c r="BO1212" s="147"/>
      <c r="BP1212" s="147"/>
      <c r="BQ1212" s="147"/>
      <c r="BR1212" s="147"/>
      <c r="BS1212" s="147"/>
      <c r="BT1212" s="147"/>
      <c r="BU1212" s="147"/>
      <c r="BV1212" s="147"/>
      <c r="BW1212" s="147"/>
      <c r="BX1212" s="147"/>
      <c r="BY1212" s="147"/>
      <c r="BZ1212" s="147"/>
      <c r="CA1212" s="147"/>
      <c r="CB1212" s="147"/>
      <c r="CC1212" s="147"/>
      <c r="CD1212" s="147"/>
      <c r="CE1212" s="147"/>
      <c r="CF1212" s="147"/>
      <c r="CG1212" s="147"/>
      <c r="CH1212" s="147"/>
      <c r="CI1212" s="147"/>
      <c r="CJ1212" s="147"/>
      <c r="CK1212" s="147"/>
    </row>
    <row r="1213" spans="1:89">
      <c r="A1213" s="147"/>
      <c r="B1213" s="147"/>
      <c r="C1213" s="147"/>
      <c r="D1213" s="147"/>
      <c r="E1213" s="147"/>
      <c r="F1213" s="147"/>
      <c r="G1213" s="147"/>
      <c r="H1213" s="147"/>
      <c r="I1213" s="147"/>
      <c r="J1213" s="147"/>
      <c r="K1213" s="147"/>
      <c r="L1213" s="147"/>
      <c r="M1213" s="147"/>
      <c r="N1213" s="147"/>
      <c r="O1213" s="158"/>
      <c r="P1213" s="147"/>
      <c r="Q1213" s="147"/>
      <c r="R1213" s="147"/>
      <c r="S1213" s="147"/>
      <c r="T1213" s="147"/>
      <c r="U1213" s="147"/>
      <c r="V1213" s="147"/>
      <c r="W1213" s="147"/>
      <c r="X1213" s="147"/>
      <c r="Y1213" s="147"/>
      <c r="Z1213" s="147"/>
      <c r="AA1213" s="147"/>
      <c r="AB1213" s="147"/>
      <c r="AC1213" s="147"/>
      <c r="AD1213" s="147"/>
      <c r="AE1213" s="147"/>
      <c r="AF1213" s="147"/>
      <c r="AG1213" s="147"/>
      <c r="AH1213" s="147"/>
      <c r="AI1213" s="147"/>
      <c r="AJ1213" s="147"/>
      <c r="AK1213" s="147"/>
      <c r="AL1213" s="147"/>
      <c r="AM1213" s="147"/>
      <c r="AN1213" s="147"/>
      <c r="AO1213" s="147"/>
      <c r="AP1213" s="147"/>
      <c r="AQ1213" s="147"/>
      <c r="AR1213" s="147"/>
      <c r="AS1213" s="147"/>
      <c r="AT1213" s="147"/>
      <c r="AU1213" s="147"/>
      <c r="AV1213" s="147"/>
      <c r="AW1213" s="147"/>
      <c r="AX1213" s="147"/>
      <c r="AY1213" s="147"/>
      <c r="AZ1213" s="147"/>
      <c r="BA1213" s="147"/>
      <c r="BB1213" s="147"/>
      <c r="BC1213" s="147"/>
      <c r="BD1213" s="147"/>
      <c r="BE1213" s="147"/>
      <c r="BF1213" s="147"/>
      <c r="BG1213" s="147"/>
      <c r="BH1213" s="147"/>
      <c r="BI1213" s="147"/>
      <c r="BJ1213" s="147"/>
      <c r="BK1213" s="147"/>
      <c r="BL1213" s="147"/>
      <c r="BM1213" s="147"/>
      <c r="BN1213" s="147"/>
      <c r="BO1213" s="147"/>
      <c r="BP1213" s="147"/>
      <c r="BQ1213" s="147"/>
      <c r="BR1213" s="147"/>
      <c r="BS1213" s="147"/>
      <c r="BT1213" s="147"/>
      <c r="BU1213" s="147"/>
      <c r="BV1213" s="147"/>
      <c r="BW1213" s="147"/>
      <c r="BX1213" s="147"/>
      <c r="BY1213" s="147"/>
      <c r="BZ1213" s="147"/>
      <c r="CA1213" s="147"/>
      <c r="CB1213" s="147"/>
      <c r="CC1213" s="147"/>
      <c r="CD1213" s="147"/>
      <c r="CE1213" s="147"/>
      <c r="CF1213" s="147"/>
      <c r="CG1213" s="147"/>
      <c r="CH1213" s="147"/>
      <c r="CI1213" s="147"/>
      <c r="CJ1213" s="147"/>
      <c r="CK1213" s="147"/>
    </row>
    <row r="1214" spans="1:89">
      <c r="A1214" s="147"/>
      <c r="B1214" s="147"/>
      <c r="C1214" s="147"/>
      <c r="D1214" s="147"/>
      <c r="E1214" s="147"/>
      <c r="F1214" s="147"/>
      <c r="G1214" s="147"/>
      <c r="H1214" s="147"/>
      <c r="I1214" s="147"/>
      <c r="J1214" s="147"/>
      <c r="K1214" s="147"/>
      <c r="L1214" s="147"/>
      <c r="M1214" s="147"/>
      <c r="N1214" s="147"/>
      <c r="O1214" s="158"/>
      <c r="P1214" s="147"/>
      <c r="Q1214" s="147"/>
      <c r="R1214" s="147"/>
      <c r="S1214" s="147"/>
      <c r="T1214" s="147"/>
      <c r="U1214" s="147"/>
      <c r="V1214" s="147"/>
      <c r="W1214" s="147"/>
      <c r="X1214" s="147"/>
      <c r="Y1214" s="147"/>
      <c r="Z1214" s="147"/>
      <c r="AA1214" s="147"/>
      <c r="AB1214" s="147"/>
      <c r="AC1214" s="147"/>
      <c r="AD1214" s="147"/>
      <c r="AE1214" s="147"/>
      <c r="AF1214" s="147"/>
      <c r="AG1214" s="147"/>
      <c r="AH1214" s="147"/>
      <c r="AI1214" s="147"/>
      <c r="AJ1214" s="147"/>
      <c r="AK1214" s="147"/>
      <c r="AL1214" s="147"/>
      <c r="AM1214" s="147"/>
      <c r="AN1214" s="147"/>
      <c r="AO1214" s="147"/>
      <c r="AP1214" s="147"/>
      <c r="AQ1214" s="147"/>
      <c r="AR1214" s="147"/>
      <c r="AS1214" s="147"/>
      <c r="AT1214" s="147"/>
      <c r="AU1214" s="147"/>
      <c r="AV1214" s="147"/>
      <c r="AW1214" s="147"/>
      <c r="AX1214" s="147"/>
      <c r="AY1214" s="147"/>
      <c r="AZ1214" s="147"/>
      <c r="BA1214" s="147"/>
      <c r="BB1214" s="147"/>
      <c r="BC1214" s="147"/>
      <c r="BD1214" s="147"/>
      <c r="BE1214" s="147"/>
      <c r="BF1214" s="147"/>
      <c r="BG1214" s="147"/>
      <c r="BH1214" s="147"/>
      <c r="BI1214" s="147"/>
      <c r="BJ1214" s="147"/>
      <c r="BK1214" s="147"/>
      <c r="BL1214" s="147"/>
      <c r="BM1214" s="147"/>
      <c r="BN1214" s="147"/>
      <c r="BO1214" s="147"/>
      <c r="BP1214" s="147"/>
      <c r="BQ1214" s="147"/>
      <c r="BR1214" s="147"/>
      <c r="BS1214" s="147"/>
      <c r="BT1214" s="147"/>
      <c r="BU1214" s="147"/>
      <c r="BV1214" s="147"/>
      <c r="BW1214" s="147"/>
      <c r="BX1214" s="147"/>
      <c r="BY1214" s="147"/>
      <c r="BZ1214" s="147"/>
      <c r="CA1214" s="147"/>
      <c r="CB1214" s="147"/>
      <c r="CC1214" s="147"/>
      <c r="CD1214" s="147"/>
      <c r="CE1214" s="147"/>
      <c r="CF1214" s="147"/>
      <c r="CG1214" s="147"/>
      <c r="CH1214" s="147"/>
      <c r="CI1214" s="147"/>
      <c r="CJ1214" s="147"/>
      <c r="CK1214" s="147"/>
    </row>
    <row r="1215" spans="1:89">
      <c r="A1215" s="147"/>
      <c r="B1215" s="147"/>
      <c r="C1215" s="147"/>
      <c r="D1215" s="147"/>
      <c r="E1215" s="147"/>
      <c r="F1215" s="147"/>
      <c r="G1215" s="147"/>
      <c r="H1215" s="147"/>
      <c r="I1215" s="147"/>
      <c r="J1215" s="147"/>
      <c r="K1215" s="147"/>
      <c r="L1215" s="147"/>
      <c r="M1215" s="147"/>
      <c r="N1215" s="147"/>
      <c r="O1215" s="158"/>
      <c r="P1215" s="147"/>
      <c r="Q1215" s="147"/>
      <c r="R1215" s="147"/>
      <c r="S1215" s="147"/>
      <c r="T1215" s="147"/>
      <c r="U1215" s="147"/>
      <c r="V1215" s="147"/>
      <c r="W1215" s="147"/>
      <c r="X1215" s="147"/>
      <c r="Y1215" s="147"/>
      <c r="Z1215" s="147"/>
      <c r="AA1215" s="147"/>
      <c r="AB1215" s="147"/>
      <c r="AC1215" s="147"/>
      <c r="AD1215" s="147"/>
      <c r="AE1215" s="147"/>
      <c r="AF1215" s="147"/>
      <c r="AG1215" s="147"/>
      <c r="AH1215" s="147"/>
      <c r="AI1215" s="147"/>
      <c r="AJ1215" s="147"/>
      <c r="AK1215" s="147"/>
      <c r="AL1215" s="147"/>
      <c r="AM1215" s="147"/>
      <c r="AN1215" s="147"/>
      <c r="AO1215" s="147"/>
      <c r="AP1215" s="147"/>
      <c r="AQ1215" s="147"/>
      <c r="AR1215" s="147"/>
      <c r="AS1215" s="147"/>
      <c r="AT1215" s="147"/>
      <c r="AU1215" s="147"/>
      <c r="AV1215" s="147"/>
      <c r="AW1215" s="147"/>
      <c r="AX1215" s="147"/>
      <c r="AY1215" s="147"/>
      <c r="AZ1215" s="147"/>
      <c r="BA1215" s="147"/>
      <c r="BB1215" s="147"/>
      <c r="BC1215" s="147"/>
      <c r="BD1215" s="147"/>
      <c r="BE1215" s="147"/>
      <c r="BF1215" s="147"/>
      <c r="BG1215" s="147"/>
      <c r="BH1215" s="147"/>
      <c r="BI1215" s="147"/>
      <c r="BJ1215" s="147"/>
      <c r="BK1215" s="147"/>
      <c r="BL1215" s="147"/>
      <c r="BM1215" s="147"/>
      <c r="BN1215" s="147"/>
      <c r="BO1215" s="147"/>
      <c r="BP1215" s="147"/>
      <c r="BQ1215" s="147"/>
      <c r="BR1215" s="147"/>
      <c r="BS1215" s="147"/>
      <c r="BT1215" s="147"/>
      <c r="BU1215" s="147"/>
      <c r="BV1215" s="147"/>
      <c r="BW1215" s="147"/>
      <c r="BX1215" s="147"/>
      <c r="BY1215" s="147"/>
      <c r="BZ1215" s="147"/>
      <c r="CA1215" s="147"/>
      <c r="CB1215" s="147"/>
      <c r="CC1215" s="147"/>
      <c r="CD1215" s="147"/>
      <c r="CE1215" s="147"/>
      <c r="CF1215" s="147"/>
      <c r="CG1215" s="147"/>
      <c r="CH1215" s="147"/>
      <c r="CI1215" s="147"/>
      <c r="CJ1215" s="147"/>
      <c r="CK1215" s="147"/>
    </row>
    <row r="1216" spans="1:89">
      <c r="A1216" s="147"/>
      <c r="B1216" s="147"/>
      <c r="C1216" s="147"/>
      <c r="D1216" s="147"/>
      <c r="E1216" s="147"/>
      <c r="F1216" s="147"/>
      <c r="G1216" s="147"/>
      <c r="H1216" s="147"/>
      <c r="I1216" s="147"/>
      <c r="J1216" s="147"/>
      <c r="K1216" s="147"/>
      <c r="L1216" s="147"/>
      <c r="M1216" s="147"/>
      <c r="N1216" s="147"/>
      <c r="O1216" s="158"/>
      <c r="P1216" s="147"/>
      <c r="Q1216" s="147"/>
      <c r="R1216" s="147"/>
      <c r="S1216" s="147"/>
      <c r="T1216" s="147"/>
      <c r="U1216" s="147"/>
      <c r="V1216" s="147"/>
      <c r="W1216" s="147"/>
      <c r="X1216" s="147"/>
      <c r="Y1216" s="147"/>
      <c r="Z1216" s="147"/>
      <c r="AA1216" s="147"/>
      <c r="AB1216" s="147"/>
      <c r="AC1216" s="147"/>
      <c r="AD1216" s="147"/>
      <c r="AE1216" s="147"/>
      <c r="AF1216" s="147"/>
      <c r="AG1216" s="147"/>
      <c r="AH1216" s="147"/>
      <c r="AI1216" s="147"/>
      <c r="AJ1216" s="147"/>
      <c r="AK1216" s="147"/>
      <c r="AL1216" s="147"/>
      <c r="AM1216" s="147"/>
      <c r="AN1216" s="147"/>
      <c r="AO1216" s="147"/>
      <c r="AP1216" s="147"/>
      <c r="AQ1216" s="147"/>
      <c r="AR1216" s="147"/>
      <c r="AS1216" s="147"/>
      <c r="AT1216" s="147"/>
      <c r="AU1216" s="147"/>
      <c r="AV1216" s="147"/>
      <c r="AW1216" s="147"/>
      <c r="AX1216" s="147"/>
      <c r="AY1216" s="147"/>
      <c r="AZ1216" s="147"/>
      <c r="BA1216" s="147"/>
      <c r="BB1216" s="147"/>
      <c r="BC1216" s="147"/>
      <c r="BD1216" s="147"/>
      <c r="BE1216" s="147"/>
      <c r="BF1216" s="147"/>
      <c r="BG1216" s="147"/>
      <c r="BH1216" s="147"/>
      <c r="BI1216" s="147"/>
      <c r="BJ1216" s="147"/>
      <c r="BK1216" s="147"/>
      <c r="BL1216" s="147"/>
      <c r="BM1216" s="147"/>
      <c r="BN1216" s="147"/>
      <c r="BO1216" s="147"/>
      <c r="BP1216" s="147"/>
      <c r="BQ1216" s="147"/>
      <c r="BR1216" s="147"/>
      <c r="BS1216" s="147"/>
      <c r="BT1216" s="147"/>
      <c r="BU1216" s="147"/>
      <c r="BV1216" s="147"/>
      <c r="BW1216" s="147"/>
      <c r="BX1216" s="147"/>
      <c r="BY1216" s="147"/>
      <c r="BZ1216" s="147"/>
      <c r="CA1216" s="147"/>
      <c r="CB1216" s="147"/>
      <c r="CC1216" s="147"/>
      <c r="CD1216" s="147"/>
      <c r="CE1216" s="147"/>
      <c r="CF1216" s="147"/>
      <c r="CG1216" s="147"/>
      <c r="CH1216" s="147"/>
      <c r="CI1216" s="147"/>
      <c r="CJ1216" s="147"/>
      <c r="CK1216" s="147"/>
    </row>
    <row r="1217" spans="1:89">
      <c r="A1217" s="147"/>
      <c r="B1217" s="147"/>
      <c r="C1217" s="147"/>
      <c r="D1217" s="147"/>
      <c r="E1217" s="147"/>
      <c r="F1217" s="147"/>
      <c r="G1217" s="147"/>
      <c r="H1217" s="147"/>
      <c r="I1217" s="147"/>
      <c r="J1217" s="147"/>
      <c r="K1217" s="147"/>
      <c r="L1217" s="147"/>
      <c r="M1217" s="147"/>
      <c r="N1217" s="147"/>
      <c r="O1217" s="158"/>
      <c r="P1217" s="147"/>
      <c r="Q1217" s="147"/>
      <c r="R1217" s="147"/>
      <c r="S1217" s="147"/>
      <c r="T1217" s="147"/>
      <c r="U1217" s="147"/>
      <c r="V1217" s="147"/>
      <c r="W1217" s="147"/>
      <c r="X1217" s="147"/>
      <c r="Y1217" s="147"/>
      <c r="Z1217" s="147"/>
      <c r="AA1217" s="147"/>
      <c r="AB1217" s="147"/>
      <c r="AC1217" s="147"/>
      <c r="AD1217" s="147"/>
      <c r="AE1217" s="147"/>
      <c r="AF1217" s="147"/>
      <c r="AG1217" s="147"/>
      <c r="AH1217" s="147"/>
      <c r="AI1217" s="147"/>
      <c r="AJ1217" s="147"/>
      <c r="AK1217" s="147"/>
      <c r="AL1217" s="147"/>
      <c r="AM1217" s="147"/>
      <c r="AN1217" s="147"/>
      <c r="AO1217" s="147"/>
      <c r="AP1217" s="147"/>
      <c r="AQ1217" s="147"/>
      <c r="AR1217" s="147"/>
      <c r="AS1217" s="147"/>
      <c r="AT1217" s="147"/>
      <c r="AU1217" s="147"/>
      <c r="AV1217" s="147"/>
      <c r="AW1217" s="147"/>
      <c r="AX1217" s="147"/>
      <c r="AY1217" s="147"/>
      <c r="AZ1217" s="147"/>
      <c r="BA1217" s="147"/>
      <c r="BB1217" s="147"/>
      <c r="BC1217" s="147"/>
      <c r="BD1217" s="147"/>
      <c r="BE1217" s="147"/>
      <c r="BF1217" s="147"/>
      <c r="BG1217" s="147"/>
      <c r="BH1217" s="147"/>
      <c r="BI1217" s="147"/>
      <c r="BJ1217" s="147"/>
      <c r="BK1217" s="147"/>
      <c r="BL1217" s="147"/>
      <c r="BM1217" s="147"/>
      <c r="BN1217" s="147"/>
      <c r="BO1217" s="147"/>
      <c r="BP1217" s="147"/>
      <c r="BQ1217" s="147"/>
      <c r="BR1217" s="147"/>
      <c r="BS1217" s="147"/>
      <c r="BT1217" s="147"/>
      <c r="BU1217" s="147"/>
      <c r="BV1217" s="147"/>
      <c r="BW1217" s="147"/>
      <c r="BX1217" s="147"/>
      <c r="BY1217" s="147"/>
      <c r="BZ1217" s="147"/>
      <c r="CA1217" s="147"/>
      <c r="CB1217" s="147"/>
      <c r="CC1217" s="147"/>
      <c r="CD1217" s="147"/>
      <c r="CE1217" s="147"/>
      <c r="CF1217" s="147"/>
      <c r="CG1217" s="147"/>
      <c r="CH1217" s="147"/>
      <c r="CI1217" s="147"/>
      <c r="CJ1217" s="147"/>
      <c r="CK1217" s="147"/>
    </row>
    <row r="1218" spans="1:89">
      <c r="A1218" s="147"/>
      <c r="B1218" s="147"/>
      <c r="C1218" s="147"/>
      <c r="D1218" s="147"/>
      <c r="E1218" s="147"/>
      <c r="F1218" s="147"/>
      <c r="G1218" s="147"/>
      <c r="H1218" s="147"/>
      <c r="I1218" s="147"/>
      <c r="J1218" s="147"/>
      <c r="K1218" s="147"/>
      <c r="L1218" s="147"/>
      <c r="M1218" s="147"/>
      <c r="N1218" s="147"/>
      <c r="O1218" s="158"/>
      <c r="P1218" s="147"/>
      <c r="Q1218" s="147"/>
      <c r="R1218" s="147"/>
      <c r="S1218" s="147"/>
      <c r="T1218" s="147"/>
      <c r="U1218" s="147"/>
      <c r="V1218" s="147"/>
      <c r="W1218" s="147"/>
      <c r="X1218" s="147"/>
      <c r="Y1218" s="147"/>
      <c r="Z1218" s="147"/>
      <c r="AA1218" s="147"/>
      <c r="AB1218" s="147"/>
      <c r="AC1218" s="147"/>
      <c r="AD1218" s="147"/>
      <c r="AE1218" s="147"/>
      <c r="AF1218" s="147"/>
      <c r="AG1218" s="147"/>
      <c r="AH1218" s="147"/>
      <c r="AI1218" s="147"/>
      <c r="AJ1218" s="147"/>
      <c r="AK1218" s="147"/>
      <c r="AL1218" s="147"/>
      <c r="AM1218" s="147"/>
      <c r="AN1218" s="147"/>
      <c r="AO1218" s="147"/>
      <c r="AP1218" s="147"/>
      <c r="AQ1218" s="147"/>
      <c r="AR1218" s="147"/>
      <c r="AS1218" s="147"/>
      <c r="AT1218" s="147"/>
      <c r="AU1218" s="147"/>
      <c r="AV1218" s="147"/>
      <c r="AW1218" s="147"/>
      <c r="AX1218" s="147"/>
      <c r="AY1218" s="147"/>
      <c r="AZ1218" s="147"/>
      <c r="BA1218" s="147"/>
      <c r="BB1218" s="147"/>
      <c r="BC1218" s="147"/>
      <c r="BD1218" s="147"/>
      <c r="BE1218" s="147"/>
      <c r="BF1218" s="147"/>
      <c r="BG1218" s="147"/>
      <c r="BH1218" s="147"/>
      <c r="BI1218" s="147"/>
      <c r="BJ1218" s="147"/>
      <c r="BK1218" s="147"/>
      <c r="BL1218" s="147"/>
      <c r="BM1218" s="147"/>
      <c r="BN1218" s="147"/>
      <c r="BO1218" s="147"/>
      <c r="BP1218" s="147"/>
      <c r="BQ1218" s="147"/>
      <c r="BR1218" s="147"/>
      <c r="BS1218" s="147"/>
      <c r="BT1218" s="147"/>
      <c r="BU1218" s="147"/>
      <c r="BV1218" s="147"/>
      <c r="BW1218" s="147"/>
      <c r="BX1218" s="147"/>
      <c r="BY1218" s="147"/>
      <c r="BZ1218" s="147"/>
      <c r="CA1218" s="147"/>
      <c r="CB1218" s="147"/>
      <c r="CC1218" s="147"/>
      <c r="CD1218" s="147"/>
      <c r="CE1218" s="147"/>
      <c r="CF1218" s="147"/>
      <c r="CG1218" s="147"/>
      <c r="CH1218" s="147"/>
      <c r="CI1218" s="147"/>
      <c r="CJ1218" s="147"/>
      <c r="CK1218" s="147"/>
    </row>
    <row r="1219" spans="1:89">
      <c r="A1219" s="147"/>
      <c r="B1219" s="147"/>
      <c r="C1219" s="147"/>
      <c r="D1219" s="147"/>
      <c r="E1219" s="147"/>
      <c r="F1219" s="147"/>
      <c r="G1219" s="147"/>
      <c r="H1219" s="147"/>
      <c r="I1219" s="147"/>
      <c r="J1219" s="147"/>
      <c r="K1219" s="147"/>
      <c r="L1219" s="147"/>
      <c r="M1219" s="147"/>
      <c r="N1219" s="147"/>
      <c r="O1219" s="158"/>
      <c r="P1219" s="147"/>
      <c r="Q1219" s="147"/>
      <c r="R1219" s="147"/>
      <c r="S1219" s="147"/>
      <c r="T1219" s="147"/>
      <c r="U1219" s="147"/>
      <c r="V1219" s="147"/>
      <c r="W1219" s="147"/>
      <c r="X1219" s="147"/>
      <c r="Y1219" s="147"/>
      <c r="Z1219" s="147"/>
      <c r="AA1219" s="147"/>
      <c r="AB1219" s="147"/>
      <c r="AC1219" s="147"/>
      <c r="AD1219" s="147"/>
      <c r="AE1219" s="147"/>
      <c r="AF1219" s="147"/>
      <c r="AG1219" s="147"/>
      <c r="AH1219" s="147"/>
      <c r="AI1219" s="147"/>
      <c r="AJ1219" s="147"/>
      <c r="AK1219" s="147"/>
      <c r="AL1219" s="147"/>
      <c r="AM1219" s="147"/>
      <c r="AN1219" s="147"/>
      <c r="AO1219" s="147"/>
      <c r="AP1219" s="147"/>
      <c r="AQ1219" s="147"/>
      <c r="AR1219" s="147"/>
      <c r="AS1219" s="147"/>
      <c r="AT1219" s="147"/>
      <c r="AU1219" s="147"/>
      <c r="AV1219" s="147"/>
      <c r="AW1219" s="147"/>
      <c r="AX1219" s="147"/>
      <c r="AY1219" s="147"/>
      <c r="AZ1219" s="147"/>
      <c r="BA1219" s="147"/>
      <c r="BB1219" s="147"/>
      <c r="BC1219" s="147"/>
      <c r="BD1219" s="147"/>
      <c r="BE1219" s="147"/>
      <c r="BF1219" s="147"/>
      <c r="BG1219" s="147"/>
      <c r="BH1219" s="147"/>
      <c r="BI1219" s="147"/>
      <c r="BJ1219" s="147"/>
      <c r="BK1219" s="147"/>
      <c r="BL1219" s="147"/>
      <c r="BM1219" s="147"/>
      <c r="BN1219" s="147"/>
      <c r="BO1219" s="147"/>
      <c r="BP1219" s="147"/>
      <c r="BQ1219" s="147"/>
      <c r="BR1219" s="147"/>
      <c r="BS1219" s="147"/>
      <c r="BT1219" s="147"/>
      <c r="BU1219" s="147"/>
      <c r="BV1219" s="147"/>
      <c r="BW1219" s="147"/>
      <c r="BX1219" s="147"/>
      <c r="BY1219" s="147"/>
      <c r="BZ1219" s="147"/>
      <c r="CA1219" s="147"/>
      <c r="CB1219" s="147"/>
      <c r="CC1219" s="147"/>
      <c r="CD1219" s="147"/>
      <c r="CE1219" s="147"/>
      <c r="CF1219" s="147"/>
      <c r="CG1219" s="147"/>
      <c r="CH1219" s="147"/>
      <c r="CI1219" s="147"/>
      <c r="CJ1219" s="147"/>
      <c r="CK1219" s="147"/>
    </row>
    <row r="1220" spans="1:89">
      <c r="A1220" s="147"/>
      <c r="B1220" s="147"/>
      <c r="C1220" s="147"/>
      <c r="D1220" s="147"/>
      <c r="E1220" s="147"/>
      <c r="F1220" s="147"/>
      <c r="G1220" s="147"/>
      <c r="H1220" s="147"/>
      <c r="I1220" s="147"/>
      <c r="J1220" s="147"/>
      <c r="K1220" s="147"/>
      <c r="L1220" s="147"/>
      <c r="M1220" s="147"/>
      <c r="N1220" s="147"/>
      <c r="O1220" s="158"/>
      <c r="P1220" s="147"/>
      <c r="Q1220" s="147"/>
      <c r="R1220" s="147"/>
      <c r="S1220" s="147"/>
      <c r="T1220" s="147"/>
      <c r="U1220" s="147"/>
      <c r="V1220" s="147"/>
      <c r="W1220" s="147"/>
      <c r="X1220" s="147"/>
      <c r="Y1220" s="147"/>
      <c r="Z1220" s="147"/>
      <c r="AA1220" s="147"/>
      <c r="AB1220" s="147"/>
      <c r="AC1220" s="147"/>
      <c r="AD1220" s="147"/>
      <c r="AE1220" s="147"/>
      <c r="AF1220" s="147"/>
      <c r="AG1220" s="147"/>
      <c r="AH1220" s="147"/>
      <c r="AI1220" s="147"/>
      <c r="AJ1220" s="147"/>
      <c r="AK1220" s="147"/>
      <c r="AL1220" s="147"/>
      <c r="AM1220" s="147"/>
      <c r="AN1220" s="147"/>
      <c r="AO1220" s="147"/>
      <c r="AP1220" s="147"/>
      <c r="AQ1220" s="147"/>
      <c r="AR1220" s="147"/>
      <c r="AS1220" s="147"/>
      <c r="AT1220" s="147"/>
      <c r="AU1220" s="147"/>
      <c r="AV1220" s="147"/>
      <c r="AW1220" s="147"/>
      <c r="AX1220" s="147"/>
      <c r="AY1220" s="147"/>
      <c r="AZ1220" s="147"/>
      <c r="BA1220" s="147"/>
      <c r="BB1220" s="147"/>
      <c r="BC1220" s="147"/>
      <c r="BD1220" s="147"/>
      <c r="BE1220" s="147"/>
      <c r="BF1220" s="147"/>
      <c r="BG1220" s="147"/>
      <c r="BH1220" s="147"/>
      <c r="BI1220" s="147"/>
      <c r="BJ1220" s="147"/>
      <c r="BK1220" s="147"/>
      <c r="BL1220" s="147"/>
      <c r="BM1220" s="147"/>
      <c r="BN1220" s="147"/>
      <c r="BO1220" s="147"/>
      <c r="BP1220" s="147"/>
      <c r="BQ1220" s="147"/>
      <c r="BR1220" s="147"/>
      <c r="BS1220" s="147"/>
      <c r="BT1220" s="147"/>
      <c r="BU1220" s="147"/>
      <c r="BV1220" s="147"/>
      <c r="BW1220" s="147"/>
      <c r="BX1220" s="147"/>
      <c r="BY1220" s="147"/>
      <c r="BZ1220" s="147"/>
      <c r="CA1220" s="147"/>
      <c r="CB1220" s="147"/>
      <c r="CC1220" s="147"/>
      <c r="CD1220" s="147"/>
      <c r="CE1220" s="147"/>
      <c r="CF1220" s="147"/>
      <c r="CG1220" s="147"/>
      <c r="CH1220" s="147"/>
      <c r="CI1220" s="147"/>
      <c r="CJ1220" s="147"/>
      <c r="CK1220" s="147"/>
    </row>
    <row r="1221" spans="1:89">
      <c r="A1221" s="147"/>
      <c r="B1221" s="147"/>
      <c r="C1221" s="147"/>
      <c r="D1221" s="147"/>
      <c r="E1221" s="147"/>
      <c r="F1221" s="147"/>
      <c r="G1221" s="147"/>
      <c r="H1221" s="147"/>
      <c r="I1221" s="147"/>
      <c r="J1221" s="147"/>
      <c r="K1221" s="147"/>
      <c r="L1221" s="147"/>
      <c r="M1221" s="147"/>
      <c r="N1221" s="147"/>
      <c r="O1221" s="158"/>
      <c r="P1221" s="147"/>
      <c r="Q1221" s="147"/>
      <c r="R1221" s="147"/>
      <c r="S1221" s="147"/>
      <c r="T1221" s="147"/>
      <c r="U1221" s="147"/>
      <c r="V1221" s="147"/>
      <c r="W1221" s="147"/>
      <c r="X1221" s="147"/>
      <c r="Y1221" s="147"/>
      <c r="Z1221" s="147"/>
      <c r="AA1221" s="147"/>
      <c r="AB1221" s="147"/>
      <c r="AC1221" s="147"/>
      <c r="AD1221" s="147"/>
      <c r="AE1221" s="147"/>
      <c r="AF1221" s="147"/>
      <c r="AG1221" s="147"/>
      <c r="AH1221" s="147"/>
      <c r="AI1221" s="147"/>
      <c r="AJ1221" s="147"/>
      <c r="AK1221" s="147"/>
      <c r="AL1221" s="147"/>
      <c r="AM1221" s="147"/>
      <c r="AN1221" s="147"/>
      <c r="AO1221" s="147"/>
      <c r="AP1221" s="147"/>
      <c r="AQ1221" s="147"/>
      <c r="AR1221" s="147"/>
      <c r="AS1221" s="147"/>
      <c r="AT1221" s="147"/>
      <c r="AU1221" s="147"/>
      <c r="AV1221" s="147"/>
      <c r="AW1221" s="147"/>
      <c r="AX1221" s="147"/>
      <c r="AY1221" s="147"/>
      <c r="AZ1221" s="147"/>
      <c r="BA1221" s="147"/>
      <c r="BB1221" s="147"/>
      <c r="BC1221" s="147"/>
      <c r="BD1221" s="147"/>
      <c r="BE1221" s="147"/>
      <c r="BF1221" s="147"/>
      <c r="BG1221" s="147"/>
      <c r="BH1221" s="147"/>
      <c r="BI1221" s="147"/>
      <c r="BJ1221" s="147"/>
      <c r="BK1221" s="147"/>
      <c r="BL1221" s="147"/>
      <c r="BM1221" s="147"/>
      <c r="BN1221" s="147"/>
      <c r="BO1221" s="147"/>
      <c r="BP1221" s="147"/>
      <c r="BQ1221" s="147"/>
      <c r="BR1221" s="147"/>
      <c r="BS1221" s="147"/>
      <c r="BT1221" s="147"/>
      <c r="BU1221" s="147"/>
      <c r="BV1221" s="147"/>
      <c r="BW1221" s="147"/>
      <c r="BX1221" s="147"/>
      <c r="BY1221" s="147"/>
      <c r="BZ1221" s="147"/>
      <c r="CA1221" s="147"/>
      <c r="CB1221" s="147"/>
      <c r="CC1221" s="147"/>
      <c r="CD1221" s="147"/>
      <c r="CE1221" s="147"/>
      <c r="CF1221" s="147"/>
      <c r="CG1221" s="147"/>
      <c r="CH1221" s="147"/>
      <c r="CI1221" s="147"/>
      <c r="CJ1221" s="147"/>
      <c r="CK1221" s="147"/>
    </row>
    <row r="1222" spans="1:89">
      <c r="A1222" s="147"/>
      <c r="B1222" s="147"/>
      <c r="C1222" s="147"/>
      <c r="D1222" s="147"/>
      <c r="E1222" s="147"/>
      <c r="F1222" s="147"/>
      <c r="G1222" s="147"/>
      <c r="H1222" s="147"/>
      <c r="I1222" s="147"/>
      <c r="J1222" s="147"/>
      <c r="K1222" s="147"/>
      <c r="L1222" s="147"/>
      <c r="M1222" s="147"/>
      <c r="N1222" s="147"/>
      <c r="O1222" s="158"/>
      <c r="P1222" s="147"/>
      <c r="Q1222" s="147"/>
      <c r="R1222" s="147"/>
      <c r="S1222" s="147"/>
      <c r="T1222" s="147"/>
      <c r="U1222" s="147"/>
      <c r="V1222" s="147"/>
      <c r="W1222" s="147"/>
      <c r="X1222" s="147"/>
      <c r="Y1222" s="147"/>
      <c r="Z1222" s="147"/>
      <c r="AA1222" s="147"/>
      <c r="AB1222" s="147"/>
      <c r="AC1222" s="147"/>
      <c r="AD1222" s="147"/>
      <c r="AE1222" s="147"/>
      <c r="AF1222" s="147"/>
      <c r="AG1222" s="147"/>
      <c r="AH1222" s="147"/>
      <c r="AI1222" s="147"/>
      <c r="AJ1222" s="147"/>
      <c r="AK1222" s="147"/>
      <c r="AL1222" s="147"/>
      <c r="AM1222" s="147"/>
      <c r="AN1222" s="147"/>
      <c r="AO1222" s="147"/>
      <c r="AP1222" s="147"/>
      <c r="AQ1222" s="147"/>
      <c r="AR1222" s="147"/>
      <c r="AS1222" s="147"/>
      <c r="AT1222" s="147"/>
      <c r="AU1222" s="147"/>
      <c r="AV1222" s="147"/>
      <c r="AW1222" s="147"/>
      <c r="AX1222" s="147"/>
      <c r="AY1222" s="147"/>
      <c r="AZ1222" s="147"/>
      <c r="BA1222" s="147"/>
      <c r="BB1222" s="147"/>
      <c r="BC1222" s="147"/>
      <c r="BD1222" s="147"/>
      <c r="BE1222" s="147"/>
      <c r="BF1222" s="147"/>
      <c r="BG1222" s="147"/>
      <c r="BH1222" s="147"/>
      <c r="BI1222" s="147"/>
      <c r="BJ1222" s="147"/>
      <c r="BK1222" s="147"/>
      <c r="BL1222" s="147"/>
      <c r="BM1222" s="147"/>
      <c r="BN1222" s="147"/>
      <c r="BO1222" s="147"/>
      <c r="BP1222" s="147"/>
      <c r="BQ1222" s="147"/>
      <c r="BR1222" s="147"/>
      <c r="BS1222" s="147"/>
      <c r="BT1222" s="147"/>
      <c r="BU1222" s="147"/>
      <c r="BV1222" s="147"/>
      <c r="BW1222" s="147"/>
      <c r="BX1222" s="147"/>
      <c r="BY1222" s="147"/>
      <c r="BZ1222" s="147"/>
      <c r="CA1222" s="147"/>
      <c r="CB1222" s="147"/>
      <c r="CC1222" s="147"/>
      <c r="CD1222" s="147"/>
      <c r="CE1222" s="147"/>
      <c r="CF1222" s="147"/>
      <c r="CG1222" s="147"/>
      <c r="CH1222" s="147"/>
      <c r="CI1222" s="147"/>
      <c r="CJ1222" s="147"/>
      <c r="CK1222" s="147"/>
    </row>
    <row r="1223" spans="1:89">
      <c r="A1223" s="147"/>
      <c r="B1223" s="147"/>
      <c r="C1223" s="147"/>
      <c r="D1223" s="147"/>
      <c r="E1223" s="147"/>
      <c r="F1223" s="147"/>
      <c r="G1223" s="147"/>
      <c r="H1223" s="147"/>
      <c r="I1223" s="147"/>
      <c r="J1223" s="147"/>
      <c r="K1223" s="147"/>
      <c r="L1223" s="147"/>
      <c r="M1223" s="147"/>
      <c r="N1223" s="147"/>
      <c r="O1223" s="158"/>
      <c r="P1223" s="147"/>
      <c r="Q1223" s="147"/>
      <c r="R1223" s="147"/>
      <c r="S1223" s="147"/>
      <c r="T1223" s="147"/>
      <c r="U1223" s="147"/>
      <c r="V1223" s="147"/>
      <c r="W1223" s="147"/>
      <c r="X1223" s="147"/>
      <c r="Y1223" s="147"/>
      <c r="Z1223" s="147"/>
      <c r="AA1223" s="147"/>
      <c r="AB1223" s="147"/>
      <c r="AC1223" s="147"/>
      <c r="AD1223" s="147"/>
      <c r="AE1223" s="147"/>
      <c r="AF1223" s="147"/>
      <c r="AG1223" s="147"/>
      <c r="AH1223" s="147"/>
      <c r="AI1223" s="147"/>
      <c r="AJ1223" s="147"/>
      <c r="AK1223" s="147"/>
      <c r="AL1223" s="147"/>
      <c r="AM1223" s="147"/>
      <c r="AN1223" s="147"/>
      <c r="AO1223" s="147"/>
      <c r="AP1223" s="147"/>
      <c r="AQ1223" s="147"/>
      <c r="AR1223" s="147"/>
      <c r="AS1223" s="147"/>
      <c r="AT1223" s="147"/>
      <c r="AU1223" s="147"/>
      <c r="AV1223" s="147"/>
      <c r="AW1223" s="147"/>
      <c r="AX1223" s="147"/>
      <c r="AY1223" s="147"/>
      <c r="AZ1223" s="147"/>
      <c r="BA1223" s="147"/>
      <c r="BB1223" s="147"/>
      <c r="BC1223" s="147"/>
      <c r="BD1223" s="147"/>
      <c r="BE1223" s="147"/>
      <c r="BF1223" s="147"/>
      <c r="BG1223" s="147"/>
      <c r="BH1223" s="147"/>
      <c r="BI1223" s="147"/>
      <c r="BJ1223" s="147"/>
      <c r="BK1223" s="147"/>
      <c r="BL1223" s="147"/>
      <c r="BM1223" s="147"/>
      <c r="BN1223" s="147"/>
      <c r="BO1223" s="147"/>
      <c r="BP1223" s="147"/>
      <c r="BQ1223" s="147"/>
      <c r="BR1223" s="147"/>
      <c r="BS1223" s="147"/>
      <c r="BT1223" s="147"/>
      <c r="BU1223" s="147"/>
      <c r="BV1223" s="147"/>
      <c r="BW1223" s="147"/>
      <c r="BX1223" s="147"/>
      <c r="BY1223" s="147"/>
      <c r="BZ1223" s="147"/>
      <c r="CA1223" s="147"/>
      <c r="CB1223" s="147"/>
      <c r="CC1223" s="147"/>
      <c r="CD1223" s="147"/>
      <c r="CE1223" s="147"/>
      <c r="CF1223" s="147"/>
      <c r="CG1223" s="147"/>
      <c r="CH1223" s="147"/>
      <c r="CI1223" s="147"/>
      <c r="CJ1223" s="147"/>
      <c r="CK1223" s="147"/>
    </row>
    <row r="1224" spans="1:89">
      <c r="A1224" s="147"/>
      <c r="B1224" s="147"/>
      <c r="C1224" s="147"/>
      <c r="D1224" s="147"/>
      <c r="E1224" s="147"/>
      <c r="F1224" s="147"/>
      <c r="G1224" s="147"/>
      <c r="H1224" s="147"/>
      <c r="I1224" s="147"/>
      <c r="J1224" s="147"/>
      <c r="K1224" s="147"/>
      <c r="L1224" s="147"/>
      <c r="M1224" s="147"/>
      <c r="N1224" s="147"/>
      <c r="O1224" s="158"/>
      <c r="P1224" s="147"/>
      <c r="Q1224" s="147"/>
      <c r="R1224" s="147"/>
      <c r="S1224" s="147"/>
      <c r="T1224" s="147"/>
      <c r="U1224" s="147"/>
      <c r="V1224" s="147"/>
      <c r="W1224" s="147"/>
      <c r="X1224" s="147"/>
      <c r="Y1224" s="147"/>
      <c r="Z1224" s="147"/>
      <c r="AA1224" s="147"/>
      <c r="AB1224" s="147"/>
      <c r="AC1224" s="147"/>
      <c r="AD1224" s="147"/>
      <c r="AE1224" s="147"/>
      <c r="AF1224" s="147"/>
      <c r="AG1224" s="147"/>
      <c r="AH1224" s="147"/>
      <c r="AI1224" s="147"/>
      <c r="AJ1224" s="147"/>
      <c r="AK1224" s="147"/>
      <c r="AL1224" s="147"/>
      <c r="AM1224" s="147"/>
      <c r="AN1224" s="147"/>
      <c r="AO1224" s="147"/>
      <c r="AP1224" s="147"/>
      <c r="AQ1224" s="147"/>
      <c r="AR1224" s="147"/>
      <c r="AS1224" s="147"/>
      <c r="AT1224" s="147"/>
      <c r="AU1224" s="147"/>
      <c r="AV1224" s="147"/>
      <c r="AW1224" s="147"/>
      <c r="AX1224" s="147"/>
      <c r="AY1224" s="147"/>
      <c r="AZ1224" s="147"/>
      <c r="BA1224" s="147"/>
      <c r="BB1224" s="147"/>
      <c r="BC1224" s="147"/>
      <c r="BD1224" s="147"/>
      <c r="BE1224" s="147"/>
      <c r="BF1224" s="147"/>
      <c r="BG1224" s="147"/>
      <c r="BH1224" s="147"/>
      <c r="BI1224" s="147"/>
      <c r="BJ1224" s="147"/>
      <c r="BK1224" s="147"/>
      <c r="BL1224" s="147"/>
      <c r="BM1224" s="147"/>
      <c r="BN1224" s="147"/>
      <c r="BO1224" s="147"/>
      <c r="BP1224" s="147"/>
      <c r="BQ1224" s="147"/>
      <c r="BR1224" s="147"/>
      <c r="BS1224" s="147"/>
      <c r="BT1224" s="147"/>
      <c r="BU1224" s="147"/>
      <c r="BV1224" s="147"/>
      <c r="BW1224" s="147"/>
      <c r="BX1224" s="147"/>
      <c r="BY1224" s="147"/>
      <c r="BZ1224" s="147"/>
      <c r="CA1224" s="147"/>
      <c r="CB1224" s="147"/>
      <c r="CC1224" s="147"/>
      <c r="CD1224" s="147"/>
      <c r="CE1224" s="147"/>
      <c r="CF1224" s="147"/>
      <c r="CG1224" s="147"/>
      <c r="CH1224" s="147"/>
      <c r="CI1224" s="147"/>
      <c r="CJ1224" s="147"/>
      <c r="CK1224" s="147"/>
    </row>
    <row r="1225" spans="1:89">
      <c r="A1225" s="147"/>
      <c r="B1225" s="147"/>
      <c r="C1225" s="147"/>
      <c r="D1225" s="147"/>
      <c r="E1225" s="147"/>
      <c r="F1225" s="147"/>
      <c r="G1225" s="147"/>
      <c r="H1225" s="147"/>
      <c r="I1225" s="147"/>
      <c r="J1225" s="147"/>
      <c r="K1225" s="147"/>
      <c r="L1225" s="147"/>
      <c r="M1225" s="147"/>
      <c r="N1225" s="147"/>
      <c r="O1225" s="158"/>
      <c r="P1225" s="147"/>
      <c r="Q1225" s="147"/>
      <c r="R1225" s="147"/>
      <c r="S1225" s="147"/>
      <c r="T1225" s="147"/>
      <c r="U1225" s="147"/>
      <c r="V1225" s="147"/>
      <c r="W1225" s="147"/>
      <c r="X1225" s="147"/>
      <c r="Y1225" s="147"/>
      <c r="Z1225" s="147"/>
      <c r="AA1225" s="147"/>
      <c r="AB1225" s="147"/>
      <c r="AC1225" s="147"/>
      <c r="AD1225" s="147"/>
      <c r="AE1225" s="147"/>
      <c r="AF1225" s="147"/>
      <c r="AG1225" s="147"/>
      <c r="AH1225" s="147"/>
      <c r="AI1225" s="147"/>
      <c r="AJ1225" s="147"/>
      <c r="AK1225" s="147"/>
      <c r="AL1225" s="147"/>
      <c r="AM1225" s="147"/>
      <c r="AN1225" s="147"/>
      <c r="AO1225" s="147"/>
      <c r="AP1225" s="147"/>
      <c r="AQ1225" s="147"/>
      <c r="AR1225" s="147"/>
      <c r="AS1225" s="147"/>
      <c r="AT1225" s="147"/>
      <c r="AU1225" s="147"/>
      <c r="AV1225" s="147"/>
      <c r="AW1225" s="147"/>
      <c r="AX1225" s="147"/>
      <c r="AY1225" s="147"/>
      <c r="AZ1225" s="147"/>
      <c r="BA1225" s="147"/>
      <c r="BB1225" s="147"/>
      <c r="BC1225" s="147"/>
      <c r="BD1225" s="147"/>
      <c r="BE1225" s="147"/>
      <c r="BF1225" s="147"/>
      <c r="BG1225" s="147"/>
      <c r="BH1225" s="147"/>
      <c r="BI1225" s="147"/>
      <c r="BJ1225" s="147"/>
      <c r="BK1225" s="147"/>
      <c r="BL1225" s="147"/>
      <c r="BM1225" s="147"/>
      <c r="BN1225" s="147"/>
      <c r="BO1225" s="147"/>
      <c r="BP1225" s="147"/>
      <c r="BQ1225" s="147"/>
      <c r="BR1225" s="147"/>
      <c r="BS1225" s="147"/>
      <c r="BT1225" s="147"/>
      <c r="BU1225" s="147"/>
      <c r="BV1225" s="147"/>
      <c r="BW1225" s="147"/>
      <c r="BX1225" s="147"/>
      <c r="BY1225" s="147"/>
      <c r="BZ1225" s="147"/>
      <c r="CA1225" s="147"/>
      <c r="CB1225" s="147"/>
      <c r="CC1225" s="147"/>
      <c r="CD1225" s="147"/>
      <c r="CE1225" s="147"/>
      <c r="CF1225" s="147"/>
      <c r="CG1225" s="147"/>
      <c r="CH1225" s="147"/>
      <c r="CI1225" s="147"/>
      <c r="CJ1225" s="147"/>
      <c r="CK1225" s="147"/>
    </row>
    <row r="1226" spans="1:89">
      <c r="A1226" s="147"/>
      <c r="B1226" s="147"/>
      <c r="C1226" s="147"/>
      <c r="D1226" s="147"/>
      <c r="E1226" s="147"/>
      <c r="F1226" s="147"/>
      <c r="G1226" s="147"/>
      <c r="H1226" s="147"/>
      <c r="I1226" s="147"/>
      <c r="J1226" s="147"/>
      <c r="K1226" s="147"/>
      <c r="L1226" s="147"/>
      <c r="M1226" s="147"/>
      <c r="N1226" s="147"/>
      <c r="O1226" s="158"/>
      <c r="P1226" s="147"/>
      <c r="Q1226" s="147"/>
      <c r="R1226" s="147"/>
      <c r="S1226" s="147"/>
      <c r="T1226" s="147"/>
      <c r="U1226" s="147"/>
      <c r="V1226" s="147"/>
      <c r="W1226" s="147"/>
      <c r="X1226" s="147"/>
      <c r="Y1226" s="147"/>
      <c r="Z1226" s="147"/>
      <c r="AA1226" s="147"/>
      <c r="AB1226" s="147"/>
      <c r="AC1226" s="147"/>
      <c r="AD1226" s="147"/>
      <c r="AE1226" s="147"/>
      <c r="AF1226" s="147"/>
      <c r="AG1226" s="147"/>
      <c r="AH1226" s="147"/>
      <c r="AI1226" s="147"/>
      <c r="AJ1226" s="147"/>
      <c r="AK1226" s="147"/>
      <c r="AL1226" s="147"/>
      <c r="AM1226" s="147"/>
      <c r="AN1226" s="147"/>
      <c r="AO1226" s="147"/>
      <c r="AP1226" s="147"/>
      <c r="AQ1226" s="147"/>
      <c r="AR1226" s="147"/>
      <c r="AS1226" s="147"/>
      <c r="AT1226" s="147"/>
      <c r="AU1226" s="147"/>
      <c r="AV1226" s="147"/>
      <c r="AW1226" s="147"/>
      <c r="AX1226" s="147"/>
      <c r="AY1226" s="147"/>
      <c r="AZ1226" s="147"/>
      <c r="BA1226" s="147"/>
      <c r="BB1226" s="147"/>
      <c r="BC1226" s="147"/>
      <c r="BD1226" s="147"/>
      <c r="BE1226" s="147"/>
      <c r="BF1226" s="147"/>
      <c r="BG1226" s="147"/>
      <c r="BH1226" s="147"/>
      <c r="BI1226" s="147"/>
      <c r="BJ1226" s="147"/>
      <c r="BK1226" s="147"/>
      <c r="BL1226" s="147"/>
      <c r="BM1226" s="147"/>
      <c r="BN1226" s="147"/>
      <c r="BO1226" s="147"/>
      <c r="BP1226" s="147"/>
      <c r="BQ1226" s="147"/>
      <c r="BR1226" s="147"/>
      <c r="BS1226" s="147"/>
      <c r="BT1226" s="147"/>
      <c r="BU1226" s="147"/>
      <c r="BV1226" s="147"/>
      <c r="BW1226" s="147"/>
      <c r="BX1226" s="147"/>
      <c r="BY1226" s="147"/>
      <c r="BZ1226" s="147"/>
      <c r="CA1226" s="147"/>
      <c r="CB1226" s="147"/>
      <c r="CC1226" s="147"/>
      <c r="CD1226" s="147"/>
      <c r="CE1226" s="147"/>
      <c r="CF1226" s="147"/>
      <c r="CG1226" s="147"/>
      <c r="CH1226" s="147"/>
      <c r="CI1226" s="147"/>
      <c r="CJ1226" s="147"/>
      <c r="CK1226" s="147"/>
    </row>
    <row r="1227" spans="1:89">
      <c r="A1227" s="147"/>
      <c r="B1227" s="147"/>
      <c r="C1227" s="147"/>
      <c r="D1227" s="147"/>
      <c r="E1227" s="147"/>
      <c r="F1227" s="147"/>
      <c r="G1227" s="147"/>
      <c r="H1227" s="147"/>
      <c r="I1227" s="147"/>
      <c r="J1227" s="147"/>
      <c r="K1227" s="147"/>
      <c r="L1227" s="147"/>
      <c r="M1227" s="147"/>
      <c r="N1227" s="147"/>
      <c r="O1227" s="158"/>
      <c r="P1227" s="147"/>
      <c r="Q1227" s="147"/>
      <c r="R1227" s="147"/>
      <c r="S1227" s="147"/>
      <c r="T1227" s="147"/>
      <c r="U1227" s="147"/>
      <c r="V1227" s="147"/>
      <c r="W1227" s="147"/>
      <c r="X1227" s="147"/>
      <c r="Y1227" s="147"/>
      <c r="Z1227" s="147"/>
      <c r="AA1227" s="147"/>
      <c r="AB1227" s="147"/>
      <c r="AC1227" s="147"/>
      <c r="AD1227" s="147"/>
      <c r="AE1227" s="147"/>
      <c r="AF1227" s="147"/>
      <c r="AG1227" s="147"/>
      <c r="AH1227" s="147"/>
      <c r="AI1227" s="147"/>
      <c r="AJ1227" s="147"/>
      <c r="AK1227" s="147"/>
      <c r="AL1227" s="147"/>
      <c r="AM1227" s="147"/>
      <c r="AN1227" s="147"/>
      <c r="AO1227" s="147"/>
      <c r="AP1227" s="147"/>
      <c r="AQ1227" s="147"/>
      <c r="AR1227" s="147"/>
      <c r="AS1227" s="147"/>
      <c r="AT1227" s="147"/>
      <c r="AU1227" s="147"/>
      <c r="AV1227" s="147"/>
      <c r="AW1227" s="147"/>
      <c r="AX1227" s="147"/>
      <c r="AY1227" s="147"/>
      <c r="AZ1227" s="147"/>
      <c r="BA1227" s="147"/>
      <c r="BB1227" s="147"/>
      <c r="BC1227" s="147"/>
      <c r="BD1227" s="147"/>
      <c r="BE1227" s="147"/>
      <c r="BF1227" s="147"/>
      <c r="BG1227" s="147"/>
      <c r="BH1227" s="147"/>
      <c r="BI1227" s="147"/>
      <c r="BJ1227" s="147"/>
      <c r="BK1227" s="147"/>
      <c r="BL1227" s="147"/>
      <c r="BM1227" s="147"/>
      <c r="BN1227" s="147"/>
      <c r="BO1227" s="147"/>
      <c r="BP1227" s="147"/>
      <c r="BQ1227" s="147"/>
      <c r="BR1227" s="147"/>
      <c r="BS1227" s="147"/>
      <c r="BT1227" s="147"/>
      <c r="BU1227" s="147"/>
      <c r="BV1227" s="147"/>
      <c r="BW1227" s="147"/>
      <c r="BX1227" s="147"/>
      <c r="BY1227" s="147"/>
      <c r="BZ1227" s="147"/>
      <c r="CA1227" s="147"/>
      <c r="CB1227" s="147"/>
      <c r="CC1227" s="147"/>
      <c r="CD1227" s="147"/>
      <c r="CE1227" s="147"/>
      <c r="CF1227" s="147"/>
      <c r="CG1227" s="147"/>
      <c r="CH1227" s="147"/>
      <c r="CI1227" s="147"/>
      <c r="CJ1227" s="147"/>
      <c r="CK1227" s="147"/>
    </row>
    <row r="1228" spans="1:89">
      <c r="A1228" s="147"/>
      <c r="B1228" s="147"/>
      <c r="C1228" s="147"/>
      <c r="D1228" s="147"/>
      <c r="E1228" s="147"/>
      <c r="F1228" s="147"/>
      <c r="G1228" s="147"/>
      <c r="H1228" s="147"/>
      <c r="I1228" s="147"/>
      <c r="J1228" s="147"/>
      <c r="K1228" s="147"/>
      <c r="L1228" s="147"/>
      <c r="M1228" s="147"/>
      <c r="N1228" s="147"/>
      <c r="O1228" s="158"/>
      <c r="P1228" s="147"/>
      <c r="Q1228" s="147"/>
      <c r="R1228" s="147"/>
      <c r="S1228" s="147"/>
      <c r="T1228" s="147"/>
      <c r="U1228" s="147"/>
      <c r="V1228" s="147"/>
      <c r="W1228" s="147"/>
      <c r="X1228" s="147"/>
      <c r="Y1228" s="147"/>
      <c r="Z1228" s="147"/>
      <c r="AA1228" s="147"/>
      <c r="AB1228" s="147"/>
      <c r="AC1228" s="147"/>
      <c r="AD1228" s="147"/>
      <c r="AE1228" s="147"/>
      <c r="AF1228" s="147"/>
      <c r="AG1228" s="147"/>
      <c r="AH1228" s="147"/>
      <c r="AI1228" s="147"/>
      <c r="AJ1228" s="147"/>
      <c r="AK1228" s="147"/>
      <c r="AL1228" s="147"/>
      <c r="AM1228" s="147"/>
      <c r="AN1228" s="147"/>
      <c r="AO1228" s="147"/>
      <c r="AP1228" s="147"/>
      <c r="AQ1228" s="147"/>
      <c r="AR1228" s="147"/>
      <c r="AS1228" s="147"/>
      <c r="AT1228" s="147"/>
      <c r="AU1228" s="147"/>
      <c r="AV1228" s="147"/>
      <c r="AW1228" s="147"/>
      <c r="AX1228" s="147"/>
      <c r="AY1228" s="147"/>
      <c r="AZ1228" s="147"/>
      <c r="BA1228" s="147"/>
      <c r="BB1228" s="147"/>
      <c r="BC1228" s="147"/>
      <c r="BD1228" s="147"/>
      <c r="BE1228" s="147"/>
      <c r="BF1228" s="147"/>
      <c r="BG1228" s="147"/>
      <c r="BH1228" s="147"/>
      <c r="BI1228" s="147"/>
      <c r="BJ1228" s="147"/>
      <c r="BK1228" s="147"/>
      <c r="BL1228" s="147"/>
      <c r="BM1228" s="147"/>
      <c r="BN1228" s="147"/>
      <c r="BO1228" s="147"/>
      <c r="BP1228" s="147"/>
      <c r="BQ1228" s="147"/>
      <c r="BR1228" s="147"/>
      <c r="BS1228" s="147"/>
      <c r="BT1228" s="147"/>
      <c r="BU1228" s="147"/>
      <c r="BV1228" s="147"/>
      <c r="BW1228" s="147"/>
      <c r="BX1228" s="147"/>
      <c r="BY1228" s="147"/>
      <c r="BZ1228" s="147"/>
      <c r="CA1228" s="147"/>
      <c r="CB1228" s="147"/>
      <c r="CC1228" s="147"/>
      <c r="CD1228" s="147"/>
      <c r="CE1228" s="147"/>
      <c r="CF1228" s="147"/>
      <c r="CG1228" s="147"/>
      <c r="CH1228" s="147"/>
      <c r="CI1228" s="147"/>
      <c r="CJ1228" s="147"/>
      <c r="CK1228" s="147"/>
    </row>
    <row r="1229" spans="1:89">
      <c r="A1229" s="147"/>
      <c r="B1229" s="147"/>
      <c r="C1229" s="147"/>
      <c r="D1229" s="147"/>
      <c r="E1229" s="147"/>
      <c r="F1229" s="147"/>
      <c r="G1229" s="147"/>
      <c r="H1229" s="147"/>
      <c r="I1229" s="147"/>
      <c r="J1229" s="147"/>
      <c r="K1229" s="147"/>
      <c r="L1229" s="147"/>
      <c r="M1229" s="147"/>
      <c r="N1229" s="147"/>
      <c r="O1229" s="158"/>
      <c r="P1229" s="147"/>
      <c r="Q1229" s="147"/>
      <c r="R1229" s="147"/>
      <c r="S1229" s="147"/>
      <c r="T1229" s="147"/>
      <c r="U1229" s="147"/>
      <c r="V1229" s="147"/>
      <c r="W1229" s="147"/>
      <c r="X1229" s="147"/>
      <c r="Y1229" s="147"/>
      <c r="Z1229" s="147"/>
      <c r="AA1229" s="147"/>
      <c r="AB1229" s="147"/>
      <c r="AC1229" s="147"/>
      <c r="AD1229" s="147"/>
      <c r="AE1229" s="147"/>
      <c r="AF1229" s="147"/>
      <c r="AG1229" s="147"/>
      <c r="AH1229" s="147"/>
      <c r="AI1229" s="147"/>
      <c r="AJ1229" s="147"/>
      <c r="AK1229" s="147"/>
      <c r="AL1229" s="147"/>
      <c r="AM1229" s="147"/>
      <c r="AN1229" s="147"/>
      <c r="AO1229" s="147"/>
      <c r="AP1229" s="147"/>
      <c r="AQ1229" s="147"/>
      <c r="AR1229" s="147"/>
      <c r="AS1229" s="147"/>
      <c r="AT1229" s="147"/>
      <c r="AU1229" s="147"/>
      <c r="AV1229" s="147"/>
      <c r="AW1229" s="147"/>
      <c r="AX1229" s="147"/>
      <c r="AY1229" s="147"/>
      <c r="AZ1229" s="147"/>
      <c r="BA1229" s="147"/>
      <c r="BB1229" s="147"/>
      <c r="BC1229" s="147"/>
      <c r="BD1229" s="147"/>
      <c r="BE1229" s="147"/>
      <c r="BF1229" s="147"/>
      <c r="BG1229" s="147"/>
      <c r="BH1229" s="147"/>
      <c r="BI1229" s="147"/>
      <c r="BJ1229" s="147"/>
      <c r="BK1229" s="147"/>
      <c r="BL1229" s="147"/>
      <c r="BM1229" s="147"/>
      <c r="BN1229" s="147"/>
      <c r="BO1229" s="147"/>
      <c r="BP1229" s="147"/>
      <c r="BQ1229" s="147"/>
      <c r="BR1229" s="147"/>
      <c r="BS1229" s="147"/>
      <c r="BT1229" s="147"/>
      <c r="BU1229" s="147"/>
      <c r="BV1229" s="147"/>
      <c r="BW1229" s="147"/>
      <c r="BX1229" s="147"/>
      <c r="BY1229" s="147"/>
      <c r="BZ1229" s="147"/>
      <c r="CA1229" s="147"/>
      <c r="CB1229" s="147"/>
      <c r="CC1229" s="147"/>
      <c r="CD1229" s="147"/>
      <c r="CE1229" s="147"/>
      <c r="CF1229" s="147"/>
      <c r="CG1229" s="147"/>
      <c r="CH1229" s="147"/>
      <c r="CI1229" s="147"/>
      <c r="CJ1229" s="147"/>
      <c r="CK1229" s="147"/>
    </row>
    <row r="1230" spans="1:89">
      <c r="A1230" s="147"/>
      <c r="B1230" s="147"/>
      <c r="C1230" s="147"/>
      <c r="D1230" s="147"/>
      <c r="E1230" s="147"/>
      <c r="F1230" s="147"/>
      <c r="G1230" s="147"/>
      <c r="H1230" s="147"/>
      <c r="I1230" s="147"/>
      <c r="J1230" s="147"/>
      <c r="K1230" s="147"/>
      <c r="L1230" s="147"/>
      <c r="M1230" s="147"/>
      <c r="N1230" s="147"/>
      <c r="O1230" s="158"/>
      <c r="P1230" s="147"/>
      <c r="Q1230" s="147"/>
      <c r="R1230" s="147"/>
      <c r="S1230" s="147"/>
      <c r="T1230" s="147"/>
      <c r="U1230" s="147"/>
      <c r="V1230" s="147"/>
      <c r="W1230" s="147"/>
      <c r="X1230" s="147"/>
      <c r="Y1230" s="147"/>
      <c r="Z1230" s="147"/>
      <c r="AA1230" s="147"/>
      <c r="AB1230" s="147"/>
      <c r="AC1230" s="147"/>
      <c r="AD1230" s="147"/>
      <c r="AE1230" s="147"/>
      <c r="AF1230" s="147"/>
      <c r="AG1230" s="147"/>
      <c r="AH1230" s="147"/>
      <c r="AI1230" s="147"/>
      <c r="AJ1230" s="147"/>
      <c r="AK1230" s="147"/>
      <c r="AL1230" s="147"/>
      <c r="AM1230" s="147"/>
      <c r="AN1230" s="147"/>
      <c r="AO1230" s="147"/>
      <c r="AP1230" s="147"/>
      <c r="AQ1230" s="147"/>
      <c r="AR1230" s="147"/>
      <c r="AS1230" s="147"/>
      <c r="AT1230" s="147"/>
      <c r="AU1230" s="147"/>
      <c r="AV1230" s="147"/>
      <c r="AW1230" s="147"/>
      <c r="AX1230" s="147"/>
      <c r="AY1230" s="147"/>
      <c r="AZ1230" s="147"/>
      <c r="BA1230" s="147"/>
      <c r="BB1230" s="147"/>
      <c r="BC1230" s="147"/>
      <c r="BD1230" s="147"/>
      <c r="BE1230" s="147"/>
      <c r="BF1230" s="147"/>
      <c r="BG1230" s="147"/>
      <c r="BH1230" s="147"/>
      <c r="BI1230" s="147"/>
      <c r="BJ1230" s="147"/>
      <c r="BK1230" s="147"/>
      <c r="BL1230" s="147"/>
      <c r="BM1230" s="147"/>
      <c r="BN1230" s="147"/>
      <c r="BO1230" s="147"/>
      <c r="BP1230" s="147"/>
      <c r="BQ1230" s="147"/>
      <c r="BR1230" s="147"/>
      <c r="BS1230" s="147"/>
      <c r="BT1230" s="147"/>
      <c r="BU1230" s="147"/>
      <c r="BV1230" s="147"/>
      <c r="BW1230" s="147"/>
      <c r="BX1230" s="147"/>
      <c r="BY1230" s="147"/>
      <c r="BZ1230" s="147"/>
      <c r="CA1230" s="147"/>
      <c r="CB1230" s="147"/>
      <c r="CC1230" s="147"/>
      <c r="CD1230" s="147"/>
      <c r="CE1230" s="147"/>
      <c r="CF1230" s="147"/>
      <c r="CG1230" s="147"/>
      <c r="CH1230" s="147"/>
      <c r="CI1230" s="147"/>
      <c r="CJ1230" s="147"/>
      <c r="CK1230" s="147"/>
    </row>
    <row r="1231" spans="1:89">
      <c r="A1231" s="147"/>
      <c r="B1231" s="147"/>
      <c r="C1231" s="147"/>
      <c r="D1231" s="147"/>
      <c r="E1231" s="147"/>
      <c r="F1231" s="147"/>
      <c r="G1231" s="147"/>
      <c r="H1231" s="147"/>
      <c r="I1231" s="147"/>
      <c r="J1231" s="147"/>
      <c r="K1231" s="147"/>
      <c r="L1231" s="147"/>
      <c r="M1231" s="147"/>
      <c r="N1231" s="147"/>
      <c r="O1231" s="158"/>
      <c r="P1231" s="147"/>
      <c r="Q1231" s="147"/>
      <c r="R1231" s="147"/>
      <c r="S1231" s="147"/>
      <c r="T1231" s="147"/>
      <c r="U1231" s="147"/>
      <c r="V1231" s="147"/>
      <c r="W1231" s="147"/>
      <c r="X1231" s="147"/>
      <c r="Y1231" s="147"/>
      <c r="Z1231" s="147"/>
      <c r="AA1231" s="147"/>
      <c r="AB1231" s="147"/>
      <c r="AC1231" s="147"/>
      <c r="AD1231" s="147"/>
      <c r="AE1231" s="147"/>
      <c r="AF1231" s="147"/>
      <c r="AG1231" s="147"/>
      <c r="AH1231" s="147"/>
      <c r="AI1231" s="147"/>
      <c r="AJ1231" s="147"/>
      <c r="AK1231" s="147"/>
      <c r="AL1231" s="147"/>
      <c r="AM1231" s="147"/>
      <c r="AN1231" s="147"/>
      <c r="AO1231" s="147"/>
      <c r="AP1231" s="147"/>
      <c r="AQ1231" s="147"/>
      <c r="AR1231" s="147"/>
      <c r="AS1231" s="147"/>
      <c r="AT1231" s="147"/>
      <c r="AU1231" s="147"/>
      <c r="AV1231" s="147"/>
      <c r="AW1231" s="147"/>
      <c r="AX1231" s="147"/>
      <c r="AY1231" s="147"/>
      <c r="AZ1231" s="147"/>
      <c r="BA1231" s="147"/>
      <c r="BB1231" s="147"/>
      <c r="BC1231" s="147"/>
      <c r="BD1231" s="147"/>
      <c r="BE1231" s="147"/>
      <c r="BF1231" s="147"/>
      <c r="BG1231" s="147"/>
      <c r="BH1231" s="147"/>
      <c r="BI1231" s="147"/>
      <c r="BJ1231" s="147"/>
      <c r="BK1231" s="147"/>
      <c r="BL1231" s="147"/>
      <c r="BM1231" s="147"/>
      <c r="BN1231" s="147"/>
      <c r="BO1231" s="147"/>
      <c r="BP1231" s="147"/>
      <c r="BQ1231" s="147"/>
      <c r="BR1231" s="147"/>
      <c r="BS1231" s="147"/>
      <c r="BT1231" s="147"/>
      <c r="BU1231" s="147"/>
      <c r="BV1231" s="147"/>
      <c r="BW1231" s="147"/>
      <c r="BX1231" s="147"/>
      <c r="BY1231" s="147"/>
      <c r="BZ1231" s="147"/>
      <c r="CA1231" s="147"/>
      <c r="CB1231" s="147"/>
      <c r="CC1231" s="147"/>
      <c r="CD1231" s="147"/>
      <c r="CE1231" s="147"/>
      <c r="CF1231" s="147"/>
      <c r="CG1231" s="147"/>
      <c r="CH1231" s="147"/>
      <c r="CI1231" s="147"/>
      <c r="CJ1231" s="147"/>
      <c r="CK1231" s="147"/>
    </row>
    <row r="1232" spans="1:89">
      <c r="A1232" s="147"/>
      <c r="B1232" s="147"/>
      <c r="C1232" s="147"/>
      <c r="D1232" s="147"/>
      <c r="E1232" s="147"/>
      <c r="F1232" s="147"/>
      <c r="G1232" s="147"/>
      <c r="H1232" s="147"/>
      <c r="I1232" s="147"/>
      <c r="J1232" s="147"/>
      <c r="K1232" s="147"/>
      <c r="L1232" s="147"/>
      <c r="M1232" s="147"/>
      <c r="N1232" s="147"/>
      <c r="O1232" s="158"/>
      <c r="P1232" s="147"/>
      <c r="Q1232" s="147"/>
      <c r="R1232" s="147"/>
      <c r="S1232" s="147"/>
      <c r="T1232" s="147"/>
      <c r="U1232" s="147"/>
      <c r="V1232" s="147"/>
      <c r="W1232" s="147"/>
      <c r="X1232" s="147"/>
      <c r="Y1232" s="147"/>
      <c r="Z1232" s="147"/>
      <c r="AA1232" s="147"/>
      <c r="AB1232" s="147"/>
      <c r="AC1232" s="147"/>
      <c r="AD1232" s="147"/>
      <c r="AE1232" s="147"/>
      <c r="AF1232" s="147"/>
      <c r="AG1232" s="147"/>
      <c r="AH1232" s="147"/>
      <c r="AI1232" s="147"/>
      <c r="AJ1232" s="147"/>
      <c r="AK1232" s="147"/>
      <c r="AL1232" s="147"/>
      <c r="AM1232" s="147"/>
      <c r="AN1232" s="147"/>
      <c r="AO1232" s="147"/>
      <c r="AP1232" s="147"/>
      <c r="AQ1232" s="147"/>
      <c r="AR1232" s="147"/>
      <c r="AS1232" s="147"/>
      <c r="AT1232" s="147"/>
      <c r="AU1232" s="147"/>
      <c r="AV1232" s="147"/>
      <c r="AW1232" s="147"/>
      <c r="AX1232" s="147"/>
      <c r="AY1232" s="147"/>
      <c r="AZ1232" s="147"/>
      <c r="BA1232" s="147"/>
      <c r="BB1232" s="147"/>
      <c r="BC1232" s="147"/>
      <c r="BD1232" s="147"/>
      <c r="BE1232" s="147"/>
      <c r="BF1232" s="147"/>
      <c r="BG1232" s="147"/>
      <c r="BH1232" s="147"/>
      <c r="BI1232" s="147"/>
      <c r="BJ1232" s="147"/>
      <c r="BK1232" s="147"/>
      <c r="BL1232" s="147"/>
      <c r="BM1232" s="147"/>
      <c r="BN1232" s="147"/>
      <c r="BO1232" s="147"/>
      <c r="BP1232" s="147"/>
      <c r="BQ1232" s="147"/>
      <c r="BR1232" s="147"/>
      <c r="BS1232" s="147"/>
      <c r="BT1232" s="147"/>
      <c r="BU1232" s="147"/>
      <c r="BV1232" s="147"/>
      <c r="BW1232" s="147"/>
      <c r="BX1232" s="147"/>
      <c r="BY1232" s="147"/>
      <c r="BZ1232" s="147"/>
      <c r="CA1232" s="147"/>
      <c r="CB1232" s="147"/>
      <c r="CC1232" s="147"/>
      <c r="CD1232" s="147"/>
      <c r="CE1232" s="147"/>
      <c r="CF1232" s="147"/>
      <c r="CG1232" s="147"/>
      <c r="CH1232" s="147"/>
      <c r="CI1232" s="147"/>
      <c r="CJ1232" s="147"/>
      <c r="CK1232" s="147"/>
    </row>
    <row r="1233" spans="1:89">
      <c r="A1233" s="147"/>
      <c r="B1233" s="147"/>
      <c r="C1233" s="147"/>
      <c r="D1233" s="147"/>
      <c r="E1233" s="147"/>
      <c r="F1233" s="147"/>
      <c r="G1233" s="147"/>
      <c r="H1233" s="147"/>
      <c r="I1233" s="147"/>
      <c r="J1233" s="147"/>
      <c r="K1233" s="147"/>
      <c r="L1233" s="147"/>
      <c r="M1233" s="147"/>
      <c r="N1233" s="147"/>
      <c r="O1233" s="158"/>
      <c r="P1233" s="147"/>
      <c r="Q1233" s="147"/>
      <c r="R1233" s="147"/>
      <c r="S1233" s="147"/>
      <c r="T1233" s="147"/>
      <c r="U1233" s="147"/>
      <c r="V1233" s="147"/>
      <c r="W1233" s="147"/>
      <c r="X1233" s="147"/>
      <c r="Y1233" s="147"/>
      <c r="Z1233" s="147"/>
      <c r="AA1233" s="147"/>
      <c r="AB1233" s="147"/>
      <c r="AC1233" s="147"/>
      <c r="AD1233" s="147"/>
      <c r="AE1233" s="147"/>
      <c r="AF1233" s="147"/>
      <c r="AG1233" s="147"/>
      <c r="AH1233" s="147"/>
      <c r="AI1233" s="147"/>
      <c r="AJ1233" s="147"/>
      <c r="AK1233" s="147"/>
      <c r="AL1233" s="147"/>
      <c r="AM1233" s="147"/>
      <c r="AN1233" s="147"/>
      <c r="AO1233" s="147"/>
      <c r="AP1233" s="147"/>
      <c r="AQ1233" s="147"/>
      <c r="AR1233" s="147"/>
      <c r="AS1233" s="147"/>
      <c r="AT1233" s="147"/>
      <c r="AU1233" s="147"/>
      <c r="AV1233" s="147"/>
      <c r="AW1233" s="147"/>
      <c r="AX1233" s="147"/>
      <c r="AY1233" s="147"/>
      <c r="AZ1233" s="147"/>
      <c r="BA1233" s="147"/>
      <c r="BB1233" s="147"/>
      <c r="BC1233" s="147"/>
      <c r="BD1233" s="147"/>
      <c r="BE1233" s="147"/>
      <c r="BF1233" s="147"/>
      <c r="BG1233" s="147"/>
      <c r="BH1233" s="147"/>
      <c r="BI1233" s="147"/>
      <c r="BJ1233" s="147"/>
      <c r="BK1233" s="147"/>
      <c r="BL1233" s="147"/>
      <c r="BM1233" s="147"/>
      <c r="BN1233" s="147"/>
      <c r="BO1233" s="147"/>
      <c r="BP1233" s="147"/>
      <c r="BQ1233" s="147"/>
      <c r="BR1233" s="147"/>
      <c r="BS1233" s="147"/>
      <c r="BT1233" s="147"/>
      <c r="BU1233" s="147"/>
      <c r="BV1233" s="147"/>
      <c r="BW1233" s="147"/>
      <c r="BX1233" s="147"/>
      <c r="BY1233" s="147"/>
      <c r="BZ1233" s="147"/>
      <c r="CA1233" s="147"/>
      <c r="CB1233" s="147"/>
      <c r="CC1233" s="147"/>
      <c r="CD1233" s="147"/>
      <c r="CE1233" s="147"/>
      <c r="CF1233" s="147"/>
      <c r="CG1233" s="147"/>
      <c r="CH1233" s="147"/>
      <c r="CI1233" s="147"/>
      <c r="CJ1233" s="147"/>
      <c r="CK1233" s="147"/>
    </row>
    <row r="1234" spans="1:89">
      <c r="A1234" s="147"/>
      <c r="B1234" s="147"/>
      <c r="C1234" s="147"/>
      <c r="D1234" s="147"/>
      <c r="E1234" s="147"/>
      <c r="F1234" s="147"/>
      <c r="G1234" s="147"/>
      <c r="H1234" s="147"/>
      <c r="I1234" s="147"/>
      <c r="J1234" s="147"/>
      <c r="K1234" s="147"/>
      <c r="L1234" s="147"/>
      <c r="M1234" s="147"/>
      <c r="N1234" s="147"/>
      <c r="O1234" s="158"/>
      <c r="P1234" s="147"/>
      <c r="Q1234" s="147"/>
      <c r="R1234" s="147"/>
      <c r="S1234" s="147"/>
      <c r="T1234" s="147"/>
      <c r="U1234" s="147"/>
      <c r="V1234" s="147"/>
      <c r="W1234" s="147"/>
      <c r="X1234" s="147"/>
      <c r="Y1234" s="147"/>
      <c r="Z1234" s="147"/>
      <c r="AA1234" s="147"/>
      <c r="AB1234" s="147"/>
      <c r="AC1234" s="147"/>
      <c r="AD1234" s="147"/>
      <c r="AE1234" s="147"/>
      <c r="AF1234" s="147"/>
      <c r="AG1234" s="147"/>
      <c r="AH1234" s="147"/>
      <c r="AI1234" s="147"/>
      <c r="AJ1234" s="147"/>
      <c r="AK1234" s="147"/>
      <c r="AL1234" s="147"/>
      <c r="AM1234" s="147"/>
      <c r="AN1234" s="147"/>
      <c r="AO1234" s="147"/>
      <c r="AP1234" s="147"/>
      <c r="AQ1234" s="147"/>
      <c r="AR1234" s="147"/>
      <c r="AS1234" s="147"/>
      <c r="AT1234" s="147"/>
      <c r="AU1234" s="147"/>
      <c r="AV1234" s="147"/>
      <c r="AW1234" s="147"/>
      <c r="AX1234" s="147"/>
      <c r="AY1234" s="147"/>
      <c r="AZ1234" s="147"/>
      <c r="BA1234" s="147"/>
      <c r="BB1234" s="147"/>
      <c r="BC1234" s="147"/>
      <c r="BD1234" s="147"/>
      <c r="BE1234" s="147"/>
      <c r="BF1234" s="147"/>
      <c r="BG1234" s="147"/>
      <c r="BH1234" s="147"/>
      <c r="BI1234" s="147"/>
      <c r="BJ1234" s="147"/>
      <c r="BK1234" s="147"/>
      <c r="BL1234" s="147"/>
      <c r="BM1234" s="147"/>
      <c r="BN1234" s="147"/>
      <c r="BO1234" s="147"/>
      <c r="BP1234" s="147"/>
      <c r="BQ1234" s="147"/>
      <c r="BR1234" s="147"/>
      <c r="BS1234" s="147"/>
      <c r="BT1234" s="147"/>
      <c r="BU1234" s="147"/>
      <c r="BV1234" s="147"/>
      <c r="BW1234" s="147"/>
      <c r="BX1234" s="147"/>
      <c r="BY1234" s="147"/>
      <c r="BZ1234" s="147"/>
      <c r="CA1234" s="147"/>
      <c r="CB1234" s="147"/>
      <c r="CC1234" s="147"/>
      <c r="CD1234" s="147"/>
      <c r="CE1234" s="147"/>
      <c r="CF1234" s="147"/>
      <c r="CG1234" s="147"/>
      <c r="CH1234" s="147"/>
      <c r="CI1234" s="147"/>
      <c r="CJ1234" s="147"/>
      <c r="CK1234" s="147"/>
    </row>
    <row r="1235" spans="1:89">
      <c r="A1235" s="147"/>
      <c r="B1235" s="147"/>
      <c r="C1235" s="147"/>
      <c r="D1235" s="147"/>
      <c r="E1235" s="147"/>
      <c r="F1235" s="147"/>
      <c r="G1235" s="147"/>
      <c r="H1235" s="147"/>
      <c r="I1235" s="147"/>
      <c r="J1235" s="147"/>
      <c r="K1235" s="147"/>
      <c r="L1235" s="147"/>
      <c r="M1235" s="147"/>
      <c r="N1235" s="147"/>
      <c r="O1235" s="158"/>
      <c r="P1235" s="147"/>
      <c r="Q1235" s="147"/>
      <c r="R1235" s="147"/>
      <c r="S1235" s="147"/>
      <c r="T1235" s="147"/>
      <c r="U1235" s="147"/>
      <c r="V1235" s="147"/>
      <c r="W1235" s="147"/>
      <c r="X1235" s="147"/>
      <c r="Y1235" s="147"/>
      <c r="Z1235" s="147"/>
      <c r="AA1235" s="147"/>
      <c r="AB1235" s="147"/>
      <c r="AC1235" s="147"/>
      <c r="AD1235" s="147"/>
      <c r="AE1235" s="147"/>
      <c r="AF1235" s="147"/>
      <c r="AG1235" s="147"/>
      <c r="AH1235" s="147"/>
      <c r="AI1235" s="147"/>
      <c r="AJ1235" s="147"/>
      <c r="AK1235" s="147"/>
      <c r="AL1235" s="147"/>
      <c r="AM1235" s="147"/>
      <c r="AN1235" s="147"/>
      <c r="AO1235" s="147"/>
      <c r="AP1235" s="147"/>
      <c r="AQ1235" s="147"/>
      <c r="AR1235" s="147"/>
      <c r="AS1235" s="147"/>
      <c r="AT1235" s="147"/>
      <c r="AU1235" s="147"/>
      <c r="AV1235" s="147"/>
      <c r="AW1235" s="147"/>
      <c r="AX1235" s="147"/>
      <c r="AY1235" s="147"/>
      <c r="AZ1235" s="147"/>
      <c r="BA1235" s="147"/>
      <c r="BB1235" s="147"/>
      <c r="BC1235" s="147"/>
      <c r="BD1235" s="147"/>
      <c r="BE1235" s="147"/>
      <c r="BF1235" s="147"/>
      <c r="BG1235" s="147"/>
      <c r="BH1235" s="147"/>
      <c r="BI1235" s="147"/>
      <c r="BJ1235" s="147"/>
      <c r="BK1235" s="147"/>
      <c r="BL1235" s="147"/>
      <c r="BM1235" s="147"/>
      <c r="BN1235" s="147"/>
      <c r="BO1235" s="147"/>
      <c r="BP1235" s="147"/>
      <c r="BQ1235" s="147"/>
      <c r="BR1235" s="147"/>
      <c r="BS1235" s="147"/>
      <c r="BT1235" s="147"/>
      <c r="BU1235" s="147"/>
      <c r="BV1235" s="147"/>
      <c r="BW1235" s="147"/>
      <c r="BX1235" s="147"/>
      <c r="BY1235" s="147"/>
      <c r="BZ1235" s="147"/>
      <c r="CA1235" s="147"/>
      <c r="CB1235" s="147"/>
      <c r="CC1235" s="147"/>
      <c r="CD1235" s="147"/>
      <c r="CE1235" s="147"/>
      <c r="CF1235" s="147"/>
      <c r="CG1235" s="147"/>
      <c r="CH1235" s="147"/>
      <c r="CI1235" s="147"/>
      <c r="CJ1235" s="147"/>
      <c r="CK1235" s="147"/>
    </row>
    <row r="1236" spans="1:89">
      <c r="A1236" s="147"/>
      <c r="B1236" s="147"/>
      <c r="C1236" s="147"/>
      <c r="D1236" s="147"/>
      <c r="E1236" s="147"/>
      <c r="F1236" s="147"/>
      <c r="G1236" s="147"/>
      <c r="H1236" s="147"/>
      <c r="I1236" s="147"/>
      <c r="J1236" s="147"/>
      <c r="K1236" s="147"/>
      <c r="L1236" s="147"/>
      <c r="M1236" s="147"/>
      <c r="N1236" s="147"/>
      <c r="O1236" s="158"/>
      <c r="P1236" s="147"/>
      <c r="Q1236" s="147"/>
      <c r="R1236" s="147"/>
      <c r="S1236" s="147"/>
      <c r="T1236" s="147"/>
      <c r="U1236" s="147"/>
      <c r="V1236" s="147"/>
      <c r="W1236" s="147"/>
      <c r="X1236" s="147"/>
      <c r="Y1236" s="147"/>
      <c r="Z1236" s="147"/>
      <c r="AA1236" s="147"/>
      <c r="AB1236" s="147"/>
      <c r="AC1236" s="147"/>
      <c r="AD1236" s="147"/>
      <c r="AE1236" s="147"/>
      <c r="AF1236" s="147"/>
      <c r="AG1236" s="147"/>
      <c r="AH1236" s="147"/>
      <c r="AI1236" s="147"/>
      <c r="AJ1236" s="147"/>
      <c r="AK1236" s="147"/>
      <c r="AL1236" s="147"/>
      <c r="AM1236" s="147"/>
      <c r="AN1236" s="147"/>
      <c r="AO1236" s="147"/>
      <c r="AP1236" s="147"/>
      <c r="AQ1236" s="147"/>
      <c r="AR1236" s="147"/>
      <c r="AS1236" s="147"/>
      <c r="AT1236" s="147"/>
      <c r="AU1236" s="147"/>
      <c r="AV1236" s="147"/>
      <c r="AW1236" s="147"/>
      <c r="AX1236" s="147"/>
      <c r="AY1236" s="147"/>
      <c r="AZ1236" s="147"/>
      <c r="BA1236" s="147"/>
      <c r="BB1236" s="147"/>
      <c r="BC1236" s="147"/>
      <c r="BD1236" s="147"/>
      <c r="BE1236" s="147"/>
      <c r="BF1236" s="147"/>
      <c r="BG1236" s="147"/>
      <c r="BH1236" s="147"/>
      <c r="BI1236" s="147"/>
      <c r="BJ1236" s="147"/>
      <c r="BK1236" s="147"/>
      <c r="BL1236" s="147"/>
      <c r="BM1236" s="147"/>
      <c r="BN1236" s="147"/>
      <c r="BO1236" s="147"/>
      <c r="BP1236" s="147"/>
      <c r="BQ1236" s="147"/>
      <c r="BR1236" s="147"/>
      <c r="BS1236" s="147"/>
      <c r="BT1236" s="147"/>
      <c r="BU1236" s="147"/>
      <c r="BV1236" s="147"/>
      <c r="BW1236" s="147"/>
      <c r="BX1236" s="147"/>
      <c r="BY1236" s="147"/>
      <c r="BZ1236" s="147"/>
      <c r="CA1236" s="147"/>
      <c r="CB1236" s="147"/>
      <c r="CC1236" s="147"/>
      <c r="CD1236" s="147"/>
      <c r="CE1236" s="147"/>
      <c r="CF1236" s="147"/>
      <c r="CG1236" s="147"/>
      <c r="CH1236" s="147"/>
      <c r="CI1236" s="147"/>
      <c r="CJ1236" s="147"/>
      <c r="CK1236" s="147"/>
    </row>
    <row r="1237" spans="1:89">
      <c r="A1237" s="147"/>
      <c r="B1237" s="147"/>
      <c r="C1237" s="147"/>
      <c r="D1237" s="147"/>
      <c r="E1237" s="147"/>
      <c r="F1237" s="147"/>
      <c r="G1237" s="147"/>
      <c r="H1237" s="147"/>
      <c r="I1237" s="147"/>
      <c r="J1237" s="147"/>
      <c r="K1237" s="147"/>
      <c r="L1237" s="147"/>
      <c r="M1237" s="147"/>
      <c r="N1237" s="147"/>
      <c r="O1237" s="158"/>
      <c r="P1237" s="147"/>
      <c r="Q1237" s="147"/>
      <c r="R1237" s="147"/>
      <c r="S1237" s="147"/>
      <c r="T1237" s="147"/>
      <c r="U1237" s="147"/>
      <c r="V1237" s="147"/>
      <c r="W1237" s="147"/>
      <c r="X1237" s="147"/>
      <c r="Y1237" s="147"/>
      <c r="Z1237" s="147"/>
      <c r="AA1237" s="147"/>
      <c r="AB1237" s="147"/>
      <c r="AC1237" s="147"/>
      <c r="AD1237" s="147"/>
      <c r="AE1237" s="147"/>
      <c r="AF1237" s="147"/>
      <c r="AG1237" s="147"/>
      <c r="AH1237" s="147"/>
      <c r="AI1237" s="147"/>
      <c r="AJ1237" s="147"/>
      <c r="AK1237" s="147"/>
      <c r="AL1237" s="147"/>
      <c r="AM1237" s="147"/>
      <c r="AN1237" s="147"/>
      <c r="AO1237" s="147"/>
      <c r="AP1237" s="147"/>
      <c r="AQ1237" s="147"/>
      <c r="AR1237" s="147"/>
      <c r="AS1237" s="147"/>
      <c r="AT1237" s="147"/>
      <c r="AU1237" s="147"/>
      <c r="AV1237" s="147"/>
      <c r="AW1237" s="147"/>
      <c r="AX1237" s="147"/>
      <c r="AY1237" s="147"/>
      <c r="AZ1237" s="147"/>
      <c r="BA1237" s="147"/>
      <c r="BB1237" s="147"/>
      <c r="BC1237" s="147"/>
      <c r="BD1237" s="147"/>
      <c r="BE1237" s="147"/>
      <c r="BF1237" s="147"/>
      <c r="BG1237" s="147"/>
      <c r="BH1237" s="147"/>
      <c r="BI1237" s="147"/>
      <c r="BJ1237" s="147"/>
      <c r="BK1237" s="147"/>
      <c r="BL1237" s="147"/>
      <c r="BM1237" s="147"/>
      <c r="BN1237" s="147"/>
      <c r="BO1237" s="147"/>
      <c r="BP1237" s="147"/>
      <c r="BQ1237" s="147"/>
      <c r="BR1237" s="147"/>
      <c r="BS1237" s="147"/>
      <c r="BT1237" s="147"/>
      <c r="BU1237" s="147"/>
      <c r="BV1237" s="147"/>
      <c r="BW1237" s="147"/>
      <c r="BX1237" s="147"/>
      <c r="BY1237" s="147"/>
      <c r="BZ1237" s="147"/>
      <c r="CA1237" s="147"/>
      <c r="CB1237" s="147"/>
      <c r="CC1237" s="147"/>
      <c r="CD1237" s="147"/>
      <c r="CE1237" s="147"/>
      <c r="CF1237" s="147"/>
      <c r="CG1237" s="147"/>
      <c r="CH1237" s="147"/>
      <c r="CI1237" s="147"/>
      <c r="CJ1237" s="147"/>
      <c r="CK1237" s="147"/>
    </row>
    <row r="1238" spans="1:89">
      <c r="A1238" s="147"/>
      <c r="B1238" s="147"/>
      <c r="C1238" s="147"/>
      <c r="D1238" s="147"/>
      <c r="E1238" s="147"/>
      <c r="F1238" s="147"/>
      <c r="G1238" s="147"/>
      <c r="H1238" s="147"/>
      <c r="I1238" s="147"/>
      <c r="J1238" s="147"/>
      <c r="K1238" s="147"/>
      <c r="L1238" s="147"/>
      <c r="M1238" s="147"/>
      <c r="N1238" s="147"/>
      <c r="O1238" s="158"/>
      <c r="P1238" s="147"/>
      <c r="Q1238" s="147"/>
      <c r="R1238" s="147"/>
      <c r="S1238" s="147"/>
      <c r="T1238" s="147"/>
      <c r="U1238" s="147"/>
      <c r="V1238" s="147"/>
      <c r="W1238" s="147"/>
      <c r="X1238" s="147"/>
      <c r="Y1238" s="147"/>
      <c r="Z1238" s="147"/>
      <c r="AA1238" s="147"/>
      <c r="AB1238" s="147"/>
      <c r="AC1238" s="147"/>
      <c r="AD1238" s="147"/>
      <c r="AE1238" s="147"/>
      <c r="AF1238" s="147"/>
      <c r="AG1238" s="147"/>
      <c r="AH1238" s="147"/>
      <c r="AI1238" s="147"/>
      <c r="AJ1238" s="147"/>
      <c r="AK1238" s="147"/>
      <c r="AL1238" s="147"/>
      <c r="AM1238" s="147"/>
      <c r="AN1238" s="147"/>
      <c r="AO1238" s="147"/>
      <c r="AP1238" s="147"/>
      <c r="AQ1238" s="147"/>
      <c r="AR1238" s="147"/>
      <c r="AS1238" s="147"/>
      <c r="AT1238" s="147"/>
      <c r="AU1238" s="147"/>
      <c r="AV1238" s="147"/>
      <c r="AW1238" s="147"/>
      <c r="AX1238" s="147"/>
      <c r="AY1238" s="147"/>
      <c r="AZ1238" s="147"/>
      <c r="BA1238" s="147"/>
      <c r="BB1238" s="147"/>
      <c r="BC1238" s="147"/>
      <c r="BD1238" s="147"/>
      <c r="BE1238" s="147"/>
      <c r="BF1238" s="147"/>
      <c r="BG1238" s="147"/>
      <c r="BH1238" s="147"/>
      <c r="BI1238" s="147"/>
      <c r="BJ1238" s="147"/>
      <c r="BK1238" s="147"/>
      <c r="BL1238" s="147"/>
      <c r="BM1238" s="147"/>
      <c r="BN1238" s="147"/>
      <c r="BO1238" s="147"/>
      <c r="BP1238" s="147"/>
      <c r="BQ1238" s="147"/>
      <c r="BR1238" s="147"/>
      <c r="BS1238" s="147"/>
      <c r="BT1238" s="147"/>
      <c r="BU1238" s="147"/>
      <c r="BV1238" s="147"/>
      <c r="BW1238" s="147"/>
      <c r="BX1238" s="147"/>
      <c r="BY1238" s="147"/>
      <c r="BZ1238" s="147"/>
      <c r="CA1238" s="147"/>
      <c r="CB1238" s="147"/>
      <c r="CC1238" s="147"/>
      <c r="CD1238" s="147"/>
      <c r="CE1238" s="147"/>
      <c r="CF1238" s="147"/>
      <c r="CG1238" s="147"/>
      <c r="CH1238" s="147"/>
      <c r="CI1238" s="147"/>
      <c r="CJ1238" s="147"/>
      <c r="CK1238" s="147"/>
    </row>
    <row r="1239" spans="1:89">
      <c r="A1239" s="147"/>
      <c r="B1239" s="147"/>
      <c r="C1239" s="147"/>
      <c r="D1239" s="147"/>
      <c r="E1239" s="147"/>
      <c r="F1239" s="147"/>
      <c r="G1239" s="147"/>
      <c r="H1239" s="147"/>
      <c r="I1239" s="147"/>
      <c r="J1239" s="147"/>
      <c r="K1239" s="147"/>
      <c r="L1239" s="147"/>
      <c r="M1239" s="147"/>
      <c r="N1239" s="147"/>
      <c r="O1239" s="158"/>
      <c r="P1239" s="147"/>
      <c r="Q1239" s="147"/>
      <c r="R1239" s="147"/>
      <c r="S1239" s="147"/>
      <c r="T1239" s="147"/>
      <c r="U1239" s="147"/>
      <c r="V1239" s="147"/>
      <c r="W1239" s="147"/>
      <c r="X1239" s="147"/>
      <c r="Y1239" s="147"/>
      <c r="Z1239" s="147"/>
      <c r="AA1239" s="147"/>
      <c r="AB1239" s="147"/>
      <c r="AC1239" s="147"/>
      <c r="AD1239" s="147"/>
      <c r="AE1239" s="147"/>
      <c r="AF1239" s="147"/>
      <c r="AG1239" s="147"/>
      <c r="AH1239" s="147"/>
      <c r="AI1239" s="147"/>
      <c r="AJ1239" s="147"/>
      <c r="AK1239" s="147"/>
      <c r="AL1239" s="147"/>
      <c r="AM1239" s="147"/>
      <c r="AN1239" s="147"/>
      <c r="AO1239" s="147"/>
      <c r="AP1239" s="147"/>
      <c r="AQ1239" s="147"/>
      <c r="AR1239" s="147"/>
      <c r="AS1239" s="147"/>
      <c r="AT1239" s="147"/>
      <c r="AU1239" s="147"/>
      <c r="AV1239" s="147"/>
      <c r="AW1239" s="147"/>
      <c r="AX1239" s="147"/>
      <c r="AY1239" s="147"/>
      <c r="AZ1239" s="147"/>
      <c r="BA1239" s="147"/>
      <c r="BB1239" s="147"/>
      <c r="BC1239" s="147"/>
      <c r="BD1239" s="147"/>
      <c r="BE1239" s="147"/>
      <c r="BF1239" s="147"/>
      <c r="BG1239" s="147"/>
      <c r="BH1239" s="147"/>
      <c r="BI1239" s="147"/>
      <c r="BJ1239" s="147"/>
      <c r="BK1239" s="147"/>
      <c r="BL1239" s="147"/>
      <c r="BM1239" s="147"/>
      <c r="BN1239" s="147"/>
      <c r="BO1239" s="147"/>
      <c r="BP1239" s="147"/>
      <c r="BQ1239" s="147"/>
      <c r="BR1239" s="147"/>
      <c r="BS1239" s="147"/>
      <c r="BT1239" s="147"/>
      <c r="BU1239" s="147"/>
      <c r="BV1239" s="147"/>
      <c r="BW1239" s="147"/>
      <c r="BX1239" s="147"/>
      <c r="BY1239" s="147"/>
      <c r="BZ1239" s="147"/>
      <c r="CA1239" s="147"/>
      <c r="CB1239" s="147"/>
      <c r="CC1239" s="147"/>
      <c r="CD1239" s="147"/>
      <c r="CE1239" s="147"/>
      <c r="CF1239" s="147"/>
      <c r="CG1239" s="147"/>
      <c r="CH1239" s="147"/>
      <c r="CI1239" s="147"/>
      <c r="CJ1239" s="147"/>
      <c r="CK1239" s="147"/>
    </row>
    <row r="1240" spans="1:89">
      <c r="A1240" s="147"/>
      <c r="B1240" s="147"/>
      <c r="C1240" s="147"/>
      <c r="D1240" s="147"/>
      <c r="E1240" s="147"/>
      <c r="F1240" s="147"/>
      <c r="G1240" s="147"/>
      <c r="H1240" s="147"/>
      <c r="I1240" s="147"/>
      <c r="J1240" s="147"/>
      <c r="K1240" s="147"/>
      <c r="L1240" s="147"/>
      <c r="M1240" s="147"/>
      <c r="N1240" s="147"/>
      <c r="O1240" s="158"/>
      <c r="P1240" s="147"/>
      <c r="Q1240" s="147"/>
      <c r="R1240" s="147"/>
      <c r="S1240" s="147"/>
      <c r="T1240" s="147"/>
      <c r="U1240" s="147"/>
      <c r="V1240" s="147"/>
      <c r="W1240" s="147"/>
      <c r="X1240" s="147"/>
      <c r="Y1240" s="147"/>
      <c r="Z1240" s="147"/>
      <c r="AA1240" s="147"/>
      <c r="AB1240" s="147"/>
      <c r="AC1240" s="147"/>
      <c r="AD1240" s="147"/>
      <c r="AE1240" s="147"/>
      <c r="AF1240" s="147"/>
      <c r="AG1240" s="147"/>
      <c r="AH1240" s="147"/>
      <c r="AI1240" s="147"/>
      <c r="AJ1240" s="147"/>
      <c r="AK1240" s="147"/>
      <c r="AL1240" s="147"/>
      <c r="AM1240" s="147"/>
      <c r="AN1240" s="147"/>
      <c r="AO1240" s="147"/>
      <c r="AP1240" s="147"/>
      <c r="AQ1240" s="147"/>
      <c r="AR1240" s="147"/>
      <c r="AS1240" s="147"/>
      <c r="AT1240" s="147"/>
      <c r="AU1240" s="147"/>
      <c r="AV1240" s="147"/>
      <c r="AW1240" s="147"/>
      <c r="AX1240" s="147"/>
      <c r="AY1240" s="147"/>
      <c r="AZ1240" s="147"/>
      <c r="BA1240" s="147"/>
      <c r="BB1240" s="147"/>
      <c r="BC1240" s="147"/>
      <c r="BD1240" s="147"/>
      <c r="BE1240" s="147"/>
      <c r="BF1240" s="147"/>
      <c r="BG1240" s="147"/>
      <c r="BH1240" s="147"/>
      <c r="BI1240" s="147"/>
      <c r="BJ1240" s="147"/>
      <c r="BK1240" s="147"/>
      <c r="BL1240" s="147"/>
      <c r="BM1240" s="147"/>
      <c r="BN1240" s="147"/>
      <c r="BO1240" s="147"/>
      <c r="BP1240" s="147"/>
      <c r="BQ1240" s="147"/>
      <c r="BR1240" s="147"/>
      <c r="BS1240" s="147"/>
      <c r="BT1240" s="147"/>
      <c r="BU1240" s="147"/>
      <c r="BV1240" s="147"/>
      <c r="BW1240" s="147"/>
      <c r="BX1240" s="147"/>
      <c r="BY1240" s="147"/>
      <c r="BZ1240" s="147"/>
      <c r="CA1240" s="147"/>
      <c r="CB1240" s="147"/>
      <c r="CC1240" s="147"/>
      <c r="CD1240" s="147"/>
      <c r="CE1240" s="147"/>
      <c r="CF1240" s="147"/>
      <c r="CG1240" s="147"/>
      <c r="CH1240" s="147"/>
      <c r="CI1240" s="147"/>
      <c r="CJ1240" s="147"/>
      <c r="CK1240" s="147"/>
    </row>
    <row r="1241" spans="1:89">
      <c r="A1241" s="147"/>
      <c r="B1241" s="147"/>
      <c r="C1241" s="147"/>
      <c r="D1241" s="147"/>
      <c r="E1241" s="147"/>
      <c r="F1241" s="147"/>
      <c r="G1241" s="147"/>
      <c r="H1241" s="147"/>
      <c r="I1241" s="147"/>
      <c r="J1241" s="147"/>
      <c r="K1241" s="147"/>
      <c r="L1241" s="147"/>
      <c r="M1241" s="147"/>
      <c r="N1241" s="147"/>
      <c r="O1241" s="158"/>
      <c r="P1241" s="147"/>
      <c r="Q1241" s="147"/>
      <c r="R1241" s="147"/>
      <c r="S1241" s="147"/>
      <c r="T1241" s="147"/>
      <c r="U1241" s="147"/>
      <c r="V1241" s="147"/>
      <c r="W1241" s="147"/>
      <c r="X1241" s="147"/>
      <c r="Y1241" s="147"/>
      <c r="Z1241" s="147"/>
      <c r="AA1241" s="147"/>
      <c r="AB1241" s="147"/>
      <c r="AC1241" s="147"/>
      <c r="AD1241" s="147"/>
      <c r="AE1241" s="147"/>
      <c r="AF1241" s="147"/>
      <c r="AG1241" s="147"/>
      <c r="AH1241" s="147"/>
      <c r="AI1241" s="147"/>
      <c r="AJ1241" s="147"/>
      <c r="AK1241" s="147"/>
      <c r="AL1241" s="147"/>
      <c r="AM1241" s="147"/>
      <c r="AN1241" s="147"/>
      <c r="AO1241" s="147"/>
      <c r="AP1241" s="147"/>
      <c r="AQ1241" s="147"/>
      <c r="AR1241" s="147"/>
      <c r="AS1241" s="147"/>
      <c r="AT1241" s="147"/>
      <c r="AU1241" s="147"/>
      <c r="AV1241" s="147"/>
      <c r="AW1241" s="147"/>
      <c r="AX1241" s="147"/>
      <c r="AY1241" s="147"/>
      <c r="AZ1241" s="147"/>
      <c r="BA1241" s="147"/>
      <c r="BB1241" s="147"/>
      <c r="BC1241" s="147"/>
      <c r="BD1241" s="147"/>
      <c r="BE1241" s="147"/>
      <c r="BF1241" s="147"/>
      <c r="BG1241" s="147"/>
      <c r="BH1241" s="147"/>
      <c r="BI1241" s="147"/>
      <c r="BJ1241" s="147"/>
      <c r="BK1241" s="147"/>
      <c r="BL1241" s="147"/>
      <c r="BM1241" s="147"/>
      <c r="BN1241" s="147"/>
      <c r="BO1241" s="147"/>
      <c r="BP1241" s="147"/>
      <c r="BQ1241" s="147"/>
      <c r="BR1241" s="147"/>
      <c r="BS1241" s="147"/>
      <c r="BT1241" s="147"/>
      <c r="BU1241" s="147"/>
      <c r="BV1241" s="147"/>
      <c r="BW1241" s="147"/>
      <c r="BX1241" s="147"/>
      <c r="BY1241" s="147"/>
      <c r="BZ1241" s="147"/>
      <c r="CA1241" s="147"/>
      <c r="CB1241" s="147"/>
      <c r="CC1241" s="147"/>
      <c r="CD1241" s="147"/>
      <c r="CE1241" s="147"/>
      <c r="CF1241" s="147"/>
      <c r="CG1241" s="147"/>
      <c r="CH1241" s="147"/>
      <c r="CI1241" s="147"/>
      <c r="CJ1241" s="147"/>
      <c r="CK1241" s="147"/>
    </row>
    <row r="1242" spans="1:89">
      <c r="A1242" s="147"/>
      <c r="B1242" s="147"/>
      <c r="C1242" s="147"/>
      <c r="D1242" s="147"/>
      <c r="E1242" s="147"/>
      <c r="F1242" s="147"/>
      <c r="G1242" s="147"/>
      <c r="H1242" s="147"/>
      <c r="I1242" s="147"/>
      <c r="J1242" s="147"/>
      <c r="K1242" s="147"/>
      <c r="L1242" s="147"/>
      <c r="M1242" s="147"/>
      <c r="N1242" s="147"/>
      <c r="O1242" s="158"/>
      <c r="P1242" s="147"/>
      <c r="Q1242" s="147"/>
      <c r="R1242" s="147"/>
      <c r="S1242" s="147"/>
      <c r="T1242" s="147"/>
      <c r="U1242" s="147"/>
      <c r="V1242" s="147"/>
      <c r="W1242" s="147"/>
      <c r="X1242" s="147"/>
      <c r="Y1242" s="147"/>
      <c r="Z1242" s="147"/>
      <c r="AA1242" s="147"/>
      <c r="AB1242" s="147"/>
      <c r="AC1242" s="147"/>
      <c r="AD1242" s="147"/>
      <c r="AE1242" s="147"/>
      <c r="AF1242" s="147"/>
      <c r="AG1242" s="147"/>
      <c r="AH1242" s="147"/>
      <c r="AI1242" s="147"/>
      <c r="AJ1242" s="147"/>
      <c r="AK1242" s="147"/>
      <c r="AL1242" s="147"/>
      <c r="AM1242" s="147"/>
      <c r="AN1242" s="147"/>
      <c r="AO1242" s="147"/>
      <c r="AP1242" s="147"/>
      <c r="AQ1242" s="147"/>
      <c r="AR1242" s="147"/>
      <c r="AS1242" s="147"/>
      <c r="AT1242" s="147"/>
      <c r="AU1242" s="147"/>
      <c r="AV1242" s="147"/>
      <c r="AW1242" s="147"/>
      <c r="AX1242" s="147"/>
      <c r="AY1242" s="147"/>
      <c r="AZ1242" s="147"/>
      <c r="BA1242" s="147"/>
      <c r="BB1242" s="147"/>
      <c r="BC1242" s="147"/>
      <c r="BD1242" s="147"/>
      <c r="BE1242" s="147"/>
      <c r="BF1242" s="147"/>
      <c r="BG1242" s="147"/>
      <c r="BH1242" s="147"/>
      <c r="BI1242" s="147"/>
      <c r="BJ1242" s="147"/>
      <c r="BK1242" s="147"/>
      <c r="BL1242" s="147"/>
      <c r="BM1242" s="147"/>
      <c r="BN1242" s="147"/>
      <c r="BO1242" s="147"/>
      <c r="BP1242" s="147"/>
      <c r="BQ1242" s="147"/>
      <c r="BR1242" s="147"/>
      <c r="BS1242" s="147"/>
      <c r="BT1242" s="147"/>
      <c r="BU1242" s="147"/>
      <c r="BV1242" s="147"/>
      <c r="BW1242" s="147"/>
      <c r="BX1242" s="147"/>
      <c r="BY1242" s="147"/>
      <c r="BZ1242" s="147"/>
      <c r="CA1242" s="147"/>
      <c r="CB1242" s="147"/>
      <c r="CC1242" s="147"/>
      <c r="CD1242" s="147"/>
      <c r="CE1242" s="147"/>
      <c r="CF1242" s="147"/>
      <c r="CG1242" s="147"/>
      <c r="CH1242" s="147"/>
      <c r="CI1242" s="147"/>
      <c r="CJ1242" s="147"/>
      <c r="CK1242" s="147"/>
    </row>
    <row r="1243" spans="1:89">
      <c r="A1243" s="147"/>
      <c r="B1243" s="147"/>
      <c r="C1243" s="147"/>
      <c r="D1243" s="147"/>
      <c r="E1243" s="147"/>
      <c r="F1243" s="147"/>
      <c r="G1243" s="147"/>
      <c r="H1243" s="147"/>
      <c r="I1243" s="147"/>
      <c r="J1243" s="147"/>
      <c r="K1243" s="147"/>
      <c r="L1243" s="147"/>
      <c r="M1243" s="147"/>
      <c r="N1243" s="147"/>
      <c r="O1243" s="158"/>
      <c r="P1243" s="147"/>
      <c r="Q1243" s="147"/>
      <c r="R1243" s="147"/>
      <c r="S1243" s="147"/>
      <c r="T1243" s="147"/>
      <c r="U1243" s="147"/>
      <c r="V1243" s="147"/>
      <c r="W1243" s="147"/>
      <c r="X1243" s="147"/>
      <c r="Y1243" s="147"/>
      <c r="Z1243" s="147"/>
      <c r="AA1243" s="147"/>
      <c r="AB1243" s="147"/>
      <c r="AC1243" s="147"/>
      <c r="AD1243" s="147"/>
      <c r="AE1243" s="147"/>
      <c r="AF1243" s="147"/>
      <c r="AG1243" s="147"/>
      <c r="AH1243" s="147"/>
      <c r="AI1243" s="147"/>
      <c r="AJ1243" s="147"/>
      <c r="AK1243" s="147"/>
      <c r="AL1243" s="147"/>
      <c r="AM1243" s="147"/>
      <c r="AN1243" s="147"/>
      <c r="AO1243" s="147"/>
      <c r="AP1243" s="147"/>
      <c r="AQ1243" s="147"/>
      <c r="AR1243" s="147"/>
      <c r="AS1243" s="147"/>
      <c r="AT1243" s="147"/>
      <c r="AU1243" s="147"/>
      <c r="AV1243" s="147"/>
      <c r="AW1243" s="147"/>
      <c r="AX1243" s="147"/>
      <c r="AY1243" s="147"/>
      <c r="AZ1243" s="147"/>
      <c r="BA1243" s="147"/>
      <c r="BB1243" s="147"/>
      <c r="BC1243" s="147"/>
      <c r="BD1243" s="147"/>
      <c r="BE1243" s="147"/>
      <c r="BF1243" s="147"/>
      <c r="BG1243" s="147"/>
      <c r="BH1243" s="147"/>
      <c r="BI1243" s="147"/>
      <c r="BJ1243" s="147"/>
      <c r="BK1243" s="147"/>
      <c r="BL1243" s="147"/>
      <c r="BM1243" s="147"/>
      <c r="BN1243" s="147"/>
      <c r="BO1243" s="147"/>
      <c r="BP1243" s="147"/>
      <c r="BQ1243" s="147"/>
      <c r="BR1243" s="147"/>
      <c r="BS1243" s="147"/>
      <c r="BT1243" s="147"/>
      <c r="BU1243" s="147"/>
      <c r="BV1243" s="147"/>
      <c r="BW1243" s="147"/>
      <c r="BX1243" s="147"/>
      <c r="BY1243" s="147"/>
      <c r="BZ1243" s="147"/>
      <c r="CA1243" s="147"/>
      <c r="CB1243" s="147"/>
      <c r="CC1243" s="147"/>
      <c r="CD1243" s="147"/>
      <c r="CE1243" s="147"/>
      <c r="CF1243" s="147"/>
      <c r="CG1243" s="147"/>
      <c r="CH1243" s="147"/>
      <c r="CI1243" s="147"/>
      <c r="CJ1243" s="147"/>
      <c r="CK1243" s="147"/>
    </row>
    <row r="1244" spans="1:89">
      <c r="A1244" s="147"/>
      <c r="B1244" s="147"/>
      <c r="C1244" s="147"/>
      <c r="D1244" s="147"/>
      <c r="E1244" s="147"/>
      <c r="F1244" s="147"/>
      <c r="G1244" s="147"/>
      <c r="H1244" s="147"/>
      <c r="I1244" s="147"/>
      <c r="J1244" s="147"/>
      <c r="K1244" s="147"/>
      <c r="L1244" s="147"/>
      <c r="M1244" s="147"/>
      <c r="N1244" s="147"/>
      <c r="O1244" s="158"/>
      <c r="P1244" s="147"/>
      <c r="Q1244" s="147"/>
      <c r="R1244" s="147"/>
      <c r="S1244" s="147"/>
      <c r="T1244" s="147"/>
      <c r="U1244" s="147"/>
      <c r="V1244" s="147"/>
      <c r="W1244" s="147"/>
      <c r="X1244" s="147"/>
      <c r="Y1244" s="147"/>
      <c r="Z1244" s="147"/>
      <c r="AA1244" s="147"/>
      <c r="AB1244" s="147"/>
      <c r="AC1244" s="147"/>
      <c r="AD1244" s="147"/>
      <c r="AE1244" s="147"/>
      <c r="AF1244" s="147"/>
      <c r="AG1244" s="147"/>
      <c r="AH1244" s="147"/>
      <c r="AI1244" s="147"/>
      <c r="AJ1244" s="147"/>
      <c r="AK1244" s="147"/>
      <c r="AL1244" s="147"/>
      <c r="AM1244" s="147"/>
      <c r="AN1244" s="147"/>
      <c r="AO1244" s="147"/>
      <c r="AP1244" s="147"/>
      <c r="AQ1244" s="147"/>
      <c r="AR1244" s="147"/>
      <c r="AS1244" s="147"/>
      <c r="AT1244" s="147"/>
      <c r="AU1244" s="147"/>
      <c r="AV1244" s="147"/>
      <c r="AW1244" s="147"/>
      <c r="AX1244" s="147"/>
      <c r="AY1244" s="147"/>
      <c r="AZ1244" s="147"/>
      <c r="BA1244" s="147"/>
      <c r="BB1244" s="147"/>
      <c r="BC1244" s="147"/>
      <c r="BD1244" s="147"/>
      <c r="BE1244" s="147"/>
      <c r="BF1244" s="147"/>
      <c r="BG1244" s="147"/>
      <c r="BH1244" s="147"/>
      <c r="BI1244" s="147"/>
      <c r="BJ1244" s="147"/>
      <c r="BK1244" s="147"/>
      <c r="BL1244" s="147"/>
      <c r="BM1244" s="147"/>
      <c r="BN1244" s="147"/>
      <c r="BO1244" s="147"/>
      <c r="BP1244" s="147"/>
      <c r="BQ1244" s="147"/>
      <c r="BR1244" s="147"/>
      <c r="BS1244" s="147"/>
      <c r="BT1244" s="147"/>
      <c r="BU1244" s="147"/>
      <c r="BV1244" s="147"/>
      <c r="BW1244" s="147"/>
      <c r="BX1244" s="147"/>
      <c r="BY1244" s="147"/>
      <c r="BZ1244" s="147"/>
      <c r="CA1244" s="147"/>
      <c r="CB1244" s="147"/>
      <c r="CC1244" s="147"/>
      <c r="CD1244" s="147"/>
      <c r="CE1244" s="147"/>
      <c r="CF1244" s="147"/>
      <c r="CG1244" s="147"/>
      <c r="CH1244" s="147"/>
      <c r="CI1244" s="147"/>
      <c r="CJ1244" s="147"/>
      <c r="CK1244" s="147"/>
    </row>
    <row r="1245" spans="1:89">
      <c r="A1245" s="147"/>
      <c r="B1245" s="147"/>
      <c r="C1245" s="147"/>
      <c r="D1245" s="147"/>
      <c r="E1245" s="147"/>
      <c r="F1245" s="147"/>
      <c r="G1245" s="147"/>
      <c r="H1245" s="147"/>
      <c r="I1245" s="147"/>
      <c r="J1245" s="147"/>
      <c r="K1245" s="147"/>
      <c r="L1245" s="147"/>
      <c r="M1245" s="147"/>
      <c r="N1245" s="147"/>
      <c r="O1245" s="158"/>
      <c r="P1245" s="147"/>
      <c r="Q1245" s="147"/>
      <c r="R1245" s="147"/>
      <c r="S1245" s="147"/>
      <c r="T1245" s="147"/>
      <c r="U1245" s="147"/>
      <c r="V1245" s="147"/>
      <c r="W1245" s="147"/>
      <c r="X1245" s="147"/>
      <c r="Y1245" s="147"/>
      <c r="Z1245" s="147"/>
      <c r="AA1245" s="147"/>
      <c r="AB1245" s="147"/>
      <c r="AC1245" s="147"/>
      <c r="AD1245" s="147"/>
      <c r="AE1245" s="147"/>
      <c r="AF1245" s="147"/>
      <c r="AG1245" s="147"/>
      <c r="AH1245" s="147"/>
      <c r="AI1245" s="147"/>
      <c r="AJ1245" s="147"/>
      <c r="AK1245" s="147"/>
      <c r="AL1245" s="147"/>
      <c r="AM1245" s="147"/>
      <c r="AN1245" s="147"/>
      <c r="AO1245" s="147"/>
      <c r="AP1245" s="147"/>
      <c r="AQ1245" s="147"/>
      <c r="AR1245" s="147"/>
      <c r="AS1245" s="147"/>
      <c r="AT1245" s="147"/>
      <c r="AU1245" s="147"/>
      <c r="AV1245" s="147"/>
      <c r="AW1245" s="147"/>
      <c r="AX1245" s="147"/>
      <c r="AY1245" s="147"/>
      <c r="AZ1245" s="147"/>
      <c r="BA1245" s="147"/>
      <c r="BB1245" s="147"/>
      <c r="BC1245" s="147"/>
      <c r="BD1245" s="147"/>
      <c r="BE1245" s="147"/>
      <c r="BF1245" s="147"/>
      <c r="BG1245" s="147"/>
      <c r="BH1245" s="147"/>
      <c r="BI1245" s="147"/>
      <c r="BJ1245" s="147"/>
      <c r="BK1245" s="147"/>
      <c r="BL1245" s="147"/>
      <c r="BM1245" s="147"/>
      <c r="BN1245" s="147"/>
      <c r="BO1245" s="147"/>
      <c r="BP1245" s="147"/>
      <c r="BQ1245" s="147"/>
      <c r="BR1245" s="147"/>
      <c r="BS1245" s="147"/>
      <c r="BT1245" s="147"/>
      <c r="BU1245" s="147"/>
      <c r="BV1245" s="147"/>
      <c r="BW1245" s="147"/>
      <c r="BX1245" s="147"/>
      <c r="BY1245" s="147"/>
      <c r="BZ1245" s="147"/>
      <c r="CA1245" s="147"/>
      <c r="CB1245" s="147"/>
      <c r="CC1245" s="147"/>
      <c r="CD1245" s="147"/>
      <c r="CE1245" s="147"/>
      <c r="CF1245" s="147"/>
      <c r="CG1245" s="147"/>
      <c r="CH1245" s="147"/>
      <c r="CI1245" s="147"/>
      <c r="CJ1245" s="147"/>
      <c r="CK1245" s="147"/>
    </row>
    <row r="1246" spans="1:89">
      <c r="A1246" s="147"/>
      <c r="B1246" s="147"/>
      <c r="C1246" s="147"/>
      <c r="D1246" s="147"/>
      <c r="E1246" s="147"/>
      <c r="F1246" s="147"/>
      <c r="G1246" s="147"/>
      <c r="H1246" s="147"/>
      <c r="I1246" s="147"/>
      <c r="J1246" s="147"/>
      <c r="K1246" s="147"/>
      <c r="L1246" s="147"/>
      <c r="M1246" s="147"/>
      <c r="N1246" s="147"/>
      <c r="O1246" s="158"/>
      <c r="P1246" s="147"/>
      <c r="Q1246" s="147"/>
      <c r="R1246" s="147"/>
      <c r="S1246" s="147"/>
      <c r="T1246" s="147"/>
      <c r="U1246" s="147"/>
      <c r="V1246" s="147"/>
      <c r="W1246" s="147"/>
      <c r="X1246" s="147"/>
      <c r="Y1246" s="147"/>
      <c r="Z1246" s="147"/>
      <c r="AA1246" s="147"/>
      <c r="AB1246" s="147"/>
      <c r="AC1246" s="147"/>
      <c r="AD1246" s="147"/>
      <c r="AE1246" s="147"/>
      <c r="AF1246" s="147"/>
      <c r="AG1246" s="147"/>
      <c r="AH1246" s="147"/>
      <c r="AI1246" s="147"/>
      <c r="AJ1246" s="147"/>
      <c r="AK1246" s="147"/>
      <c r="AL1246" s="147"/>
      <c r="AM1246" s="147"/>
      <c r="AN1246" s="147"/>
      <c r="AO1246" s="147"/>
      <c r="AP1246" s="147"/>
      <c r="AQ1246" s="147"/>
      <c r="AR1246" s="147"/>
      <c r="AS1246" s="147"/>
      <c r="AT1246" s="147"/>
      <c r="AU1246" s="147"/>
      <c r="AV1246" s="147"/>
      <c r="AW1246" s="147"/>
      <c r="AX1246" s="147"/>
      <c r="AY1246" s="147"/>
      <c r="AZ1246" s="147"/>
      <c r="BA1246" s="147"/>
      <c r="BB1246" s="147"/>
      <c r="BC1246" s="147"/>
      <c r="BD1246" s="147"/>
      <c r="BE1246" s="147"/>
      <c r="BF1246" s="147"/>
      <c r="BG1246" s="147"/>
      <c r="BH1246" s="147"/>
      <c r="BI1246" s="147"/>
      <c r="BJ1246" s="147"/>
      <c r="BK1246" s="147"/>
      <c r="BL1246" s="147"/>
      <c r="BM1246" s="147"/>
      <c r="BN1246" s="147"/>
      <c r="BO1246" s="147"/>
      <c r="BP1246" s="147"/>
      <c r="BQ1246" s="147"/>
      <c r="BR1246" s="147"/>
      <c r="BS1246" s="147"/>
      <c r="BT1246" s="147"/>
      <c r="BU1246" s="147"/>
      <c r="BV1246" s="147"/>
      <c r="BW1246" s="147"/>
      <c r="BX1246" s="147"/>
      <c r="BY1246" s="147"/>
      <c r="BZ1246" s="147"/>
      <c r="CA1246" s="147"/>
      <c r="CB1246" s="147"/>
      <c r="CC1246" s="147"/>
      <c r="CD1246" s="147"/>
      <c r="CE1246" s="147"/>
      <c r="CF1246" s="147"/>
      <c r="CG1246" s="147"/>
      <c r="CH1246" s="147"/>
      <c r="CI1246" s="147"/>
      <c r="CJ1246" s="147"/>
      <c r="CK1246" s="147"/>
    </row>
    <row r="1247" spans="1:89">
      <c r="A1247" s="147"/>
      <c r="B1247" s="147"/>
      <c r="C1247" s="147"/>
      <c r="D1247" s="147"/>
      <c r="E1247" s="147"/>
      <c r="F1247" s="147"/>
      <c r="G1247" s="147"/>
      <c r="H1247" s="147"/>
      <c r="I1247" s="147"/>
      <c r="J1247" s="147"/>
      <c r="K1247" s="147"/>
      <c r="L1247" s="147"/>
      <c r="M1247" s="147"/>
      <c r="N1247" s="147"/>
      <c r="O1247" s="158"/>
      <c r="P1247" s="147"/>
      <c r="Q1247" s="147"/>
      <c r="R1247" s="147"/>
      <c r="S1247" s="147"/>
      <c r="T1247" s="147"/>
      <c r="U1247" s="147"/>
      <c r="V1247" s="147"/>
      <c r="W1247" s="147"/>
      <c r="X1247" s="147"/>
      <c r="Y1247" s="147"/>
      <c r="Z1247" s="147"/>
      <c r="AA1247" s="147"/>
      <c r="AB1247" s="147"/>
      <c r="AC1247" s="147"/>
      <c r="AD1247" s="147"/>
      <c r="AE1247" s="147"/>
      <c r="AF1247" s="147"/>
      <c r="AG1247" s="147"/>
      <c r="AH1247" s="147"/>
      <c r="AI1247" s="147"/>
      <c r="AJ1247" s="147"/>
      <c r="AK1247" s="147"/>
      <c r="AL1247" s="147"/>
      <c r="AM1247" s="147"/>
      <c r="AN1247" s="147"/>
      <c r="AO1247" s="147"/>
      <c r="AP1247" s="147"/>
      <c r="AQ1247" s="147"/>
      <c r="AR1247" s="147"/>
      <c r="AS1247" s="147"/>
      <c r="AT1247" s="147"/>
      <c r="AU1247" s="147"/>
      <c r="AV1247" s="147"/>
      <c r="AW1247" s="147"/>
      <c r="AX1247" s="147"/>
      <c r="AY1247" s="147"/>
      <c r="AZ1247" s="147"/>
      <c r="BA1247" s="147"/>
      <c r="BB1247" s="147"/>
      <c r="BC1247" s="147"/>
      <c r="BD1247" s="147"/>
      <c r="BE1247" s="147"/>
      <c r="BF1247" s="147"/>
      <c r="BG1247" s="147"/>
      <c r="BH1247" s="147"/>
      <c r="BI1247" s="147"/>
      <c r="BJ1247" s="147"/>
      <c r="BK1247" s="147"/>
      <c r="BL1247" s="147"/>
      <c r="BM1247" s="147"/>
      <c r="BN1247" s="147"/>
      <c r="BO1247" s="147"/>
      <c r="BP1247" s="147"/>
      <c r="BQ1247" s="147"/>
      <c r="BR1247" s="147"/>
      <c r="BS1247" s="147"/>
      <c r="BT1247" s="147"/>
      <c r="BU1247" s="147"/>
      <c r="BV1247" s="147"/>
      <c r="BW1247" s="147"/>
      <c r="BX1247" s="147"/>
      <c r="BY1247" s="147"/>
      <c r="BZ1247" s="147"/>
      <c r="CA1247" s="147"/>
      <c r="CB1247" s="147"/>
      <c r="CC1247" s="147"/>
      <c r="CD1247" s="147"/>
      <c r="CE1247" s="147"/>
      <c r="CF1247" s="147"/>
      <c r="CG1247" s="147"/>
      <c r="CH1247" s="147"/>
      <c r="CI1247" s="147"/>
      <c r="CJ1247" s="147"/>
      <c r="CK1247" s="147"/>
    </row>
    <row r="1248" spans="1:89">
      <c r="A1248" s="147"/>
      <c r="B1248" s="147"/>
      <c r="C1248" s="147"/>
      <c r="D1248" s="147"/>
      <c r="E1248" s="147"/>
      <c r="F1248" s="147"/>
      <c r="G1248" s="147"/>
      <c r="H1248" s="147"/>
      <c r="I1248" s="147"/>
      <c r="J1248" s="147"/>
      <c r="K1248" s="147"/>
      <c r="L1248" s="147"/>
      <c r="M1248" s="147"/>
      <c r="N1248" s="147"/>
      <c r="O1248" s="158"/>
      <c r="P1248" s="147"/>
      <c r="Q1248" s="147"/>
      <c r="R1248" s="147"/>
      <c r="S1248" s="147"/>
      <c r="T1248" s="147"/>
      <c r="U1248" s="147"/>
      <c r="V1248" s="147"/>
      <c r="W1248" s="147"/>
      <c r="X1248" s="147"/>
      <c r="Y1248" s="147"/>
      <c r="Z1248" s="147"/>
      <c r="AA1248" s="147"/>
      <c r="AB1248" s="147"/>
      <c r="AC1248" s="147"/>
      <c r="AD1248" s="147"/>
      <c r="AE1248" s="147"/>
      <c r="AF1248" s="147"/>
      <c r="AG1248" s="147"/>
      <c r="AH1248" s="147"/>
      <c r="AI1248" s="147"/>
      <c r="AJ1248" s="147"/>
      <c r="AK1248" s="147"/>
      <c r="AL1248" s="147"/>
      <c r="AM1248" s="147"/>
      <c r="AN1248" s="147"/>
      <c r="AO1248" s="147"/>
      <c r="AP1248" s="147"/>
      <c r="AQ1248" s="147"/>
      <c r="AR1248" s="147"/>
      <c r="AS1248" s="147"/>
      <c r="AT1248" s="147"/>
      <c r="AU1248" s="147"/>
      <c r="AV1248" s="147"/>
      <c r="AW1248" s="147"/>
      <c r="AX1248" s="147"/>
      <c r="AY1248" s="147"/>
      <c r="AZ1248" s="147"/>
      <c r="BA1248" s="147"/>
      <c r="BB1248" s="147"/>
      <c r="BC1248" s="147"/>
      <c r="BD1248" s="147"/>
      <c r="BE1248" s="147"/>
      <c r="BF1248" s="147"/>
      <c r="BG1248" s="147"/>
      <c r="BH1248" s="147"/>
      <c r="BI1248" s="147"/>
      <c r="BJ1248" s="147"/>
      <c r="BK1248" s="147"/>
      <c r="BL1248" s="147"/>
      <c r="BM1248" s="147"/>
      <c r="BN1248" s="147"/>
      <c r="BO1248" s="147"/>
      <c r="BP1248" s="147"/>
      <c r="BQ1248" s="147"/>
      <c r="BR1248" s="147"/>
      <c r="BS1248" s="147"/>
      <c r="BT1248" s="147"/>
      <c r="BU1248" s="147"/>
      <c r="BV1248" s="147"/>
      <c r="BW1248" s="147"/>
      <c r="BX1248" s="147"/>
      <c r="BY1248" s="147"/>
      <c r="BZ1248" s="147"/>
      <c r="CA1248" s="147"/>
      <c r="CB1248" s="147"/>
      <c r="CC1248" s="147"/>
      <c r="CD1248" s="147"/>
      <c r="CE1248" s="147"/>
      <c r="CF1248" s="147"/>
      <c r="CG1248" s="147"/>
      <c r="CH1248" s="147"/>
      <c r="CI1248" s="147"/>
      <c r="CJ1248" s="147"/>
      <c r="CK1248" s="147"/>
    </row>
    <row r="1249" spans="1:89">
      <c r="A1249" s="147"/>
      <c r="B1249" s="147"/>
      <c r="C1249" s="147"/>
      <c r="D1249" s="147"/>
      <c r="E1249" s="147"/>
      <c r="F1249" s="147"/>
      <c r="G1249" s="147"/>
      <c r="H1249" s="147"/>
      <c r="I1249" s="147"/>
      <c r="J1249" s="147"/>
      <c r="K1249" s="147"/>
      <c r="L1249" s="147"/>
      <c r="M1249" s="147"/>
      <c r="N1249" s="147"/>
      <c r="O1249" s="158"/>
      <c r="P1249" s="147"/>
      <c r="Q1249" s="147"/>
      <c r="R1249" s="147"/>
      <c r="S1249" s="147"/>
      <c r="T1249" s="147"/>
      <c r="U1249" s="147"/>
      <c r="V1249" s="147"/>
      <c r="W1249" s="147"/>
      <c r="X1249" s="147"/>
      <c r="Y1249" s="147"/>
      <c r="Z1249" s="147"/>
      <c r="AA1249" s="147"/>
      <c r="AB1249" s="147"/>
      <c r="AC1249" s="147"/>
      <c r="AD1249" s="147"/>
      <c r="AE1249" s="147"/>
      <c r="AF1249" s="147"/>
      <c r="AG1249" s="147"/>
      <c r="AH1249" s="147"/>
      <c r="AI1249" s="147"/>
      <c r="AJ1249" s="147"/>
      <c r="AK1249" s="147"/>
      <c r="AL1249" s="147"/>
      <c r="AM1249" s="147"/>
      <c r="AN1249" s="147"/>
      <c r="AO1249" s="147"/>
      <c r="AP1249" s="147"/>
      <c r="AQ1249" s="147"/>
      <c r="AR1249" s="147"/>
      <c r="AS1249" s="147"/>
      <c r="AT1249" s="147"/>
      <c r="AU1249" s="147"/>
      <c r="AV1249" s="147"/>
      <c r="AW1249" s="147"/>
      <c r="AX1249" s="147"/>
      <c r="AY1249" s="147"/>
      <c r="AZ1249" s="147"/>
      <c r="BA1249" s="147"/>
      <c r="BB1249" s="147"/>
      <c r="BC1249" s="147"/>
      <c r="BD1249" s="147"/>
      <c r="BE1249" s="147"/>
      <c r="BF1249" s="147"/>
      <c r="BG1249" s="147"/>
      <c r="BH1249" s="147"/>
      <c r="BI1249" s="147"/>
      <c r="BJ1249" s="147"/>
      <c r="BK1249" s="147"/>
      <c r="BL1249" s="147"/>
      <c r="BM1249" s="147"/>
      <c r="BN1249" s="147"/>
      <c r="BO1249" s="147"/>
      <c r="BP1249" s="147"/>
      <c r="BQ1249" s="147"/>
      <c r="BR1249" s="147"/>
      <c r="BS1249" s="147"/>
      <c r="BT1249" s="147"/>
      <c r="BU1249" s="147"/>
      <c r="BV1249" s="147"/>
      <c r="BW1249" s="147"/>
      <c r="BX1249" s="147"/>
      <c r="BY1249" s="147"/>
      <c r="BZ1249" s="147"/>
      <c r="CA1249" s="147"/>
      <c r="CB1249" s="147"/>
      <c r="CC1249" s="147"/>
      <c r="CD1249" s="147"/>
      <c r="CE1249" s="147"/>
      <c r="CF1249" s="147"/>
      <c r="CG1249" s="147"/>
      <c r="CH1249" s="147"/>
      <c r="CI1249" s="147"/>
      <c r="CJ1249" s="147"/>
      <c r="CK1249" s="147"/>
    </row>
    <row r="1250" spans="1:89">
      <c r="A1250" s="147"/>
      <c r="B1250" s="147"/>
      <c r="C1250" s="147"/>
      <c r="D1250" s="147"/>
      <c r="E1250" s="147"/>
      <c r="F1250" s="147"/>
      <c r="G1250" s="147"/>
      <c r="H1250" s="147"/>
      <c r="I1250" s="147"/>
      <c r="J1250" s="147"/>
      <c r="K1250" s="147"/>
      <c r="L1250" s="147"/>
      <c r="M1250" s="147"/>
      <c r="N1250" s="147"/>
      <c r="O1250" s="158"/>
      <c r="P1250" s="147"/>
      <c r="Q1250" s="147"/>
      <c r="R1250" s="147"/>
      <c r="S1250" s="147"/>
      <c r="T1250" s="147"/>
      <c r="U1250" s="147"/>
      <c r="V1250" s="147"/>
      <c r="W1250" s="147"/>
      <c r="X1250" s="147"/>
      <c r="Y1250" s="147"/>
      <c r="Z1250" s="147"/>
      <c r="AA1250" s="147"/>
      <c r="AB1250" s="147"/>
      <c r="AC1250" s="147"/>
      <c r="AD1250" s="147"/>
      <c r="AE1250" s="147"/>
      <c r="AF1250" s="147"/>
      <c r="AG1250" s="147"/>
      <c r="AH1250" s="147"/>
      <c r="AI1250" s="147"/>
      <c r="AJ1250" s="147"/>
      <c r="AK1250" s="147"/>
      <c r="AL1250" s="147"/>
      <c r="AM1250" s="147"/>
      <c r="AN1250" s="147"/>
      <c r="AO1250" s="147"/>
      <c r="AP1250" s="147"/>
      <c r="AQ1250" s="147"/>
      <c r="AR1250" s="147"/>
      <c r="AS1250" s="147"/>
      <c r="AT1250" s="147"/>
      <c r="AU1250" s="147"/>
      <c r="AV1250" s="147"/>
      <c r="AW1250" s="147"/>
      <c r="AX1250" s="147"/>
      <c r="AY1250" s="147"/>
      <c r="AZ1250" s="147"/>
      <c r="BA1250" s="147"/>
      <c r="BB1250" s="147"/>
      <c r="BC1250" s="147"/>
      <c r="BD1250" s="147"/>
      <c r="BE1250" s="147"/>
      <c r="BF1250" s="147"/>
      <c r="BG1250" s="147"/>
      <c r="BH1250" s="147"/>
      <c r="BI1250" s="147"/>
      <c r="BJ1250" s="147"/>
      <c r="BK1250" s="147"/>
      <c r="BL1250" s="147"/>
      <c r="BM1250" s="147"/>
      <c r="BN1250" s="147"/>
      <c r="BO1250" s="147"/>
      <c r="BP1250" s="147"/>
      <c r="BQ1250" s="147"/>
      <c r="BR1250" s="147"/>
      <c r="BS1250" s="147"/>
      <c r="BT1250" s="147"/>
      <c r="BU1250" s="147"/>
      <c r="BV1250" s="147"/>
      <c r="BW1250" s="147"/>
      <c r="BX1250" s="147"/>
      <c r="BY1250" s="147"/>
      <c r="BZ1250" s="147"/>
      <c r="CA1250" s="147"/>
      <c r="CB1250" s="147"/>
      <c r="CC1250" s="147"/>
      <c r="CD1250" s="147"/>
      <c r="CE1250" s="147"/>
      <c r="CF1250" s="147"/>
      <c r="CG1250" s="147"/>
      <c r="CH1250" s="147"/>
      <c r="CI1250" s="147"/>
      <c r="CJ1250" s="147"/>
      <c r="CK1250" s="147"/>
    </row>
    <row r="1251" spans="1:89">
      <c r="A1251" s="147"/>
      <c r="B1251" s="147"/>
      <c r="C1251" s="147"/>
      <c r="D1251" s="147"/>
      <c r="E1251" s="147"/>
      <c r="F1251" s="147"/>
      <c r="G1251" s="147"/>
      <c r="H1251" s="147"/>
      <c r="I1251" s="147"/>
      <c r="J1251" s="147"/>
      <c r="K1251" s="147"/>
      <c r="L1251" s="147"/>
      <c r="M1251" s="147"/>
      <c r="N1251" s="147"/>
      <c r="O1251" s="158"/>
      <c r="P1251" s="147"/>
      <c r="Q1251" s="147"/>
      <c r="R1251" s="147"/>
      <c r="S1251" s="147"/>
      <c r="T1251" s="147"/>
      <c r="U1251" s="147"/>
      <c r="V1251" s="147"/>
      <c r="W1251" s="147"/>
      <c r="X1251" s="147"/>
      <c r="Y1251" s="147"/>
      <c r="Z1251" s="147"/>
      <c r="AA1251" s="147"/>
      <c r="AB1251" s="147"/>
      <c r="AC1251" s="147"/>
      <c r="AD1251" s="147"/>
      <c r="AE1251" s="147"/>
      <c r="AF1251" s="147"/>
      <c r="AG1251" s="147"/>
      <c r="AH1251" s="147"/>
      <c r="AI1251" s="147"/>
      <c r="AJ1251" s="147"/>
      <c r="AK1251" s="147"/>
      <c r="AL1251" s="147"/>
      <c r="AM1251" s="147"/>
      <c r="AN1251" s="147"/>
      <c r="AO1251" s="147"/>
      <c r="AP1251" s="147"/>
      <c r="AQ1251" s="147"/>
      <c r="AR1251" s="147"/>
      <c r="AS1251" s="147"/>
      <c r="AT1251" s="147"/>
      <c r="AU1251" s="147"/>
      <c r="AV1251" s="147"/>
      <c r="AW1251" s="147"/>
      <c r="AX1251" s="147"/>
      <c r="AY1251" s="147"/>
      <c r="AZ1251" s="147"/>
      <c r="BA1251" s="147"/>
      <c r="BB1251" s="147"/>
      <c r="BC1251" s="147"/>
      <c r="BD1251" s="147"/>
      <c r="BE1251" s="147"/>
      <c r="BF1251" s="147"/>
      <c r="BG1251" s="147"/>
      <c r="BH1251" s="147"/>
      <c r="BI1251" s="147"/>
      <c r="BJ1251" s="147"/>
      <c r="BK1251" s="147"/>
      <c r="BL1251" s="147"/>
      <c r="BM1251" s="147"/>
      <c r="BN1251" s="147"/>
      <c r="BO1251" s="147"/>
      <c r="BP1251" s="147"/>
      <c r="BQ1251" s="147"/>
      <c r="BR1251" s="147"/>
      <c r="BS1251" s="147"/>
      <c r="BT1251" s="147"/>
      <c r="BU1251" s="147"/>
      <c r="BV1251" s="147"/>
      <c r="BW1251" s="147"/>
      <c r="BX1251" s="147"/>
      <c r="BY1251" s="147"/>
      <c r="BZ1251" s="147"/>
      <c r="CA1251" s="147"/>
      <c r="CB1251" s="147"/>
      <c r="CC1251" s="147"/>
      <c r="CD1251" s="147"/>
      <c r="CE1251" s="147"/>
      <c r="CF1251" s="147"/>
      <c r="CG1251" s="147"/>
      <c r="CH1251" s="147"/>
      <c r="CI1251" s="147"/>
      <c r="CJ1251" s="147"/>
      <c r="CK1251" s="147"/>
    </row>
    <row r="1252" spans="1:89">
      <c r="A1252" s="147"/>
      <c r="B1252" s="147"/>
      <c r="C1252" s="147"/>
      <c r="D1252" s="147"/>
      <c r="E1252" s="147"/>
      <c r="F1252" s="147"/>
      <c r="G1252" s="147"/>
      <c r="H1252" s="147"/>
      <c r="I1252" s="147"/>
      <c r="J1252" s="147"/>
      <c r="K1252" s="147"/>
      <c r="L1252" s="147"/>
      <c r="M1252" s="147"/>
      <c r="N1252" s="147"/>
      <c r="O1252" s="158"/>
      <c r="P1252" s="147"/>
      <c r="Q1252" s="147"/>
      <c r="R1252" s="147"/>
      <c r="S1252" s="147"/>
      <c r="T1252" s="147"/>
      <c r="U1252" s="147"/>
      <c r="V1252" s="147"/>
      <c r="W1252" s="147"/>
      <c r="X1252" s="147"/>
      <c r="Y1252" s="147"/>
      <c r="Z1252" s="147"/>
      <c r="AA1252" s="147"/>
      <c r="AB1252" s="147"/>
      <c r="AC1252" s="147"/>
      <c r="AD1252" s="147"/>
      <c r="AE1252" s="147"/>
      <c r="AF1252" s="147"/>
      <c r="AG1252" s="147"/>
      <c r="AH1252" s="147"/>
      <c r="AI1252" s="147"/>
      <c r="AJ1252" s="147"/>
      <c r="AK1252" s="147"/>
      <c r="AL1252" s="147"/>
      <c r="AM1252" s="147"/>
      <c r="AN1252" s="147"/>
      <c r="AO1252" s="147"/>
      <c r="AP1252" s="147"/>
      <c r="AQ1252" s="147"/>
      <c r="AR1252" s="147"/>
      <c r="AS1252" s="147"/>
      <c r="AT1252" s="147"/>
      <c r="AU1252" s="147"/>
      <c r="AV1252" s="147"/>
      <c r="AW1252" s="147"/>
      <c r="AX1252" s="147"/>
      <c r="AY1252" s="147"/>
      <c r="AZ1252" s="147"/>
      <c r="BA1252" s="147"/>
      <c r="BB1252" s="147"/>
      <c r="BC1252" s="147"/>
      <c r="BD1252" s="147"/>
      <c r="BE1252" s="147"/>
      <c r="BF1252" s="147"/>
      <c r="BG1252" s="147"/>
      <c r="BH1252" s="147"/>
      <c r="BI1252" s="147"/>
      <c r="BJ1252" s="147"/>
      <c r="BK1252" s="147"/>
      <c r="BL1252" s="147"/>
      <c r="BM1252" s="147"/>
      <c r="BN1252" s="147"/>
      <c r="BO1252" s="147"/>
      <c r="BP1252" s="147"/>
      <c r="BQ1252" s="147"/>
      <c r="BR1252" s="147"/>
      <c r="BS1252" s="147"/>
      <c r="BT1252" s="147"/>
      <c r="BU1252" s="147"/>
      <c r="BV1252" s="147"/>
      <c r="BW1252" s="147"/>
      <c r="BX1252" s="147"/>
      <c r="BY1252" s="147"/>
      <c r="BZ1252" s="147"/>
      <c r="CA1252" s="147"/>
      <c r="CB1252" s="147"/>
      <c r="CC1252" s="147"/>
      <c r="CD1252" s="147"/>
      <c r="CE1252" s="147"/>
      <c r="CF1252" s="147"/>
      <c r="CG1252" s="147"/>
      <c r="CH1252" s="147"/>
      <c r="CI1252" s="147"/>
      <c r="CJ1252" s="147"/>
      <c r="CK1252" s="147"/>
    </row>
    <row r="1253" spans="1:89">
      <c r="A1253" s="147"/>
      <c r="B1253" s="147"/>
      <c r="C1253" s="147"/>
      <c r="D1253" s="147"/>
      <c r="E1253" s="147"/>
      <c r="F1253" s="147"/>
      <c r="G1253" s="147"/>
      <c r="H1253" s="147"/>
      <c r="I1253" s="147"/>
      <c r="J1253" s="147"/>
      <c r="K1253" s="147"/>
      <c r="L1253" s="147"/>
      <c r="M1253" s="147"/>
      <c r="N1253" s="147"/>
      <c r="O1253" s="158"/>
      <c r="P1253" s="147"/>
      <c r="Q1253" s="147"/>
      <c r="R1253" s="147"/>
      <c r="S1253" s="147"/>
      <c r="T1253" s="147"/>
      <c r="U1253" s="147"/>
      <c r="V1253" s="147"/>
      <c r="W1253" s="147"/>
      <c r="X1253" s="147"/>
      <c r="Y1253" s="147"/>
      <c r="Z1253" s="147"/>
      <c r="AA1253" s="147"/>
      <c r="AB1253" s="147"/>
      <c r="AC1253" s="147"/>
      <c r="AD1253" s="147"/>
      <c r="AE1253" s="147"/>
      <c r="AF1253" s="147"/>
      <c r="AG1253" s="147"/>
      <c r="AH1253" s="147"/>
      <c r="AI1253" s="147"/>
      <c r="AJ1253" s="147"/>
      <c r="AK1253" s="147"/>
      <c r="AL1253" s="147"/>
      <c r="AM1253" s="147"/>
      <c r="AN1253" s="147"/>
      <c r="AO1253" s="147"/>
      <c r="AP1253" s="147"/>
      <c r="AQ1253" s="147"/>
      <c r="AR1253" s="147"/>
      <c r="AS1253" s="147"/>
      <c r="AT1253" s="147"/>
      <c r="AU1253" s="147"/>
      <c r="AV1253" s="147"/>
      <c r="AW1253" s="147"/>
      <c r="AX1253" s="147"/>
      <c r="AY1253" s="147"/>
      <c r="AZ1253" s="147"/>
      <c r="BA1253" s="147"/>
      <c r="BB1253" s="147"/>
      <c r="BC1253" s="147"/>
      <c r="BD1253" s="147"/>
      <c r="BE1253" s="147"/>
      <c r="BF1253" s="147"/>
      <c r="BG1253" s="147"/>
      <c r="BH1253" s="147"/>
      <c r="BI1253" s="147"/>
      <c r="BJ1253" s="147"/>
      <c r="BK1253" s="147"/>
      <c r="BL1253" s="147"/>
      <c r="BM1253" s="147"/>
      <c r="BN1253" s="147"/>
      <c r="BO1253" s="147"/>
      <c r="BP1253" s="147"/>
      <c r="BQ1253" s="147"/>
      <c r="BR1253" s="147"/>
      <c r="BS1253" s="147"/>
      <c r="BT1253" s="147"/>
      <c r="BU1253" s="147"/>
      <c r="BV1253" s="147"/>
      <c r="BW1253" s="147"/>
      <c r="BX1253" s="147"/>
      <c r="BY1253" s="147"/>
      <c r="BZ1253" s="147"/>
      <c r="CA1253" s="147"/>
      <c r="CB1253" s="147"/>
      <c r="CC1253" s="147"/>
      <c r="CD1253" s="147"/>
      <c r="CE1253" s="147"/>
      <c r="CF1253" s="147"/>
      <c r="CG1253" s="147"/>
      <c r="CH1253" s="147"/>
      <c r="CI1253" s="147"/>
      <c r="CJ1253" s="147"/>
      <c r="CK1253" s="147"/>
    </row>
    <row r="1254" spans="1:89">
      <c r="A1254" s="147"/>
      <c r="B1254" s="147"/>
      <c r="C1254" s="147"/>
      <c r="D1254" s="147"/>
      <c r="E1254" s="147"/>
      <c r="F1254" s="147"/>
      <c r="G1254" s="147"/>
      <c r="H1254" s="147"/>
      <c r="I1254" s="147"/>
      <c r="J1254" s="147"/>
      <c r="K1254" s="147"/>
      <c r="L1254" s="147"/>
      <c r="M1254" s="147"/>
      <c r="N1254" s="147"/>
      <c r="O1254" s="158"/>
      <c r="P1254" s="147"/>
      <c r="Q1254" s="147"/>
      <c r="R1254" s="147"/>
      <c r="S1254" s="147"/>
      <c r="T1254" s="147"/>
      <c r="U1254" s="147"/>
      <c r="V1254" s="147"/>
      <c r="W1254" s="147"/>
      <c r="X1254" s="147"/>
      <c r="Y1254" s="147"/>
      <c r="Z1254" s="147"/>
      <c r="AA1254" s="147"/>
      <c r="AB1254" s="147"/>
      <c r="AC1254" s="147"/>
      <c r="AD1254" s="147"/>
      <c r="AE1254" s="147"/>
      <c r="AF1254" s="147"/>
      <c r="AG1254" s="147"/>
      <c r="AH1254" s="147"/>
      <c r="AI1254" s="147"/>
      <c r="AJ1254" s="147"/>
      <c r="AK1254" s="147"/>
      <c r="AL1254" s="147"/>
      <c r="AM1254" s="147"/>
      <c r="AN1254" s="147"/>
      <c r="AO1254" s="147"/>
      <c r="AP1254" s="147"/>
      <c r="AQ1254" s="147"/>
      <c r="AR1254" s="147"/>
      <c r="AS1254" s="147"/>
      <c r="AT1254" s="147"/>
      <c r="AU1254" s="147"/>
      <c r="AV1254" s="147"/>
      <c r="AW1254" s="147"/>
      <c r="AX1254" s="147"/>
      <c r="AY1254" s="147"/>
      <c r="AZ1254" s="147"/>
      <c r="BA1254" s="147"/>
      <c r="BB1254" s="147"/>
      <c r="BC1254" s="147"/>
      <c r="BD1254" s="147"/>
      <c r="BE1254" s="147"/>
      <c r="BF1254" s="147"/>
      <c r="BG1254" s="147"/>
      <c r="BH1254" s="147"/>
      <c r="BI1254" s="147"/>
      <c r="BJ1254" s="147"/>
      <c r="BK1254" s="147"/>
      <c r="BL1254" s="147"/>
      <c r="BM1254" s="147"/>
      <c r="BN1254" s="147"/>
      <c r="BO1254" s="147"/>
      <c r="BP1254" s="147"/>
      <c r="BQ1254" s="147"/>
      <c r="BR1254" s="147"/>
      <c r="BS1254" s="147"/>
      <c r="BT1254" s="147"/>
      <c r="BU1254" s="147"/>
      <c r="BV1254" s="147"/>
      <c r="BW1254" s="147"/>
      <c r="BX1254" s="147"/>
      <c r="BY1254" s="147"/>
      <c r="BZ1254" s="147"/>
      <c r="CA1254" s="147"/>
      <c r="CB1254" s="147"/>
      <c r="CC1254" s="147"/>
      <c r="CD1254" s="147"/>
      <c r="CE1254" s="147"/>
      <c r="CF1254" s="147"/>
      <c r="CG1254" s="147"/>
      <c r="CH1254" s="147"/>
      <c r="CI1254" s="147"/>
      <c r="CJ1254" s="147"/>
      <c r="CK1254" s="147"/>
    </row>
    <row r="1255" spans="1:89">
      <c r="A1255" s="147"/>
      <c r="B1255" s="147"/>
      <c r="C1255" s="147"/>
      <c r="D1255" s="147"/>
      <c r="E1255" s="147"/>
      <c r="F1255" s="147"/>
      <c r="G1255" s="147"/>
      <c r="H1255" s="147"/>
      <c r="I1255" s="147"/>
      <c r="J1255" s="147"/>
      <c r="K1255" s="147"/>
      <c r="L1255" s="147"/>
      <c r="M1255" s="147"/>
      <c r="N1255" s="147"/>
      <c r="O1255" s="158"/>
      <c r="P1255" s="147"/>
      <c r="Q1255" s="147"/>
      <c r="R1255" s="147"/>
      <c r="S1255" s="147"/>
      <c r="T1255" s="147"/>
      <c r="U1255" s="147"/>
      <c r="V1255" s="147"/>
      <c r="W1255" s="147"/>
      <c r="X1255" s="147"/>
      <c r="Y1255" s="147"/>
      <c r="Z1255" s="147"/>
      <c r="AA1255" s="147"/>
      <c r="AB1255" s="147"/>
      <c r="AC1255" s="147"/>
      <c r="AD1255" s="147"/>
      <c r="AE1255" s="147"/>
      <c r="AF1255" s="147"/>
      <c r="AG1255" s="147"/>
      <c r="AH1255" s="147"/>
      <c r="AI1255" s="147"/>
      <c r="AJ1255" s="147"/>
      <c r="AK1255" s="147"/>
      <c r="AL1255" s="147"/>
      <c r="AM1255" s="147"/>
      <c r="AN1255" s="147"/>
      <c r="AO1255" s="147"/>
      <c r="AP1255" s="147"/>
      <c r="AQ1255" s="147"/>
      <c r="AR1255" s="147"/>
      <c r="AS1255" s="147"/>
      <c r="AT1255" s="147"/>
      <c r="AU1255" s="147"/>
      <c r="AV1255" s="147"/>
      <c r="AW1255" s="147"/>
      <c r="AX1255" s="147"/>
      <c r="AY1255" s="147"/>
      <c r="AZ1255" s="147"/>
      <c r="BA1255" s="147"/>
      <c r="BB1255" s="147"/>
      <c r="BC1255" s="147"/>
      <c r="BD1255" s="147"/>
      <c r="BE1255" s="147"/>
      <c r="BF1255" s="147"/>
      <c r="BG1255" s="147"/>
      <c r="BH1255" s="147"/>
      <c r="BI1255" s="147"/>
      <c r="BJ1255" s="147"/>
      <c r="BK1255" s="147"/>
      <c r="BL1255" s="147"/>
      <c r="BM1255" s="147"/>
      <c r="BN1255" s="147"/>
      <c r="BO1255" s="147"/>
      <c r="BP1255" s="147"/>
      <c r="BQ1255" s="147"/>
      <c r="BR1255" s="147"/>
      <c r="BS1255" s="147"/>
      <c r="BT1255" s="147"/>
      <c r="BU1255" s="147"/>
      <c r="BV1255" s="147"/>
      <c r="BW1255" s="147"/>
      <c r="BX1255" s="147"/>
      <c r="BY1255" s="147"/>
      <c r="BZ1255" s="147"/>
      <c r="CA1255" s="147"/>
      <c r="CB1255" s="147"/>
      <c r="CC1255" s="147"/>
      <c r="CD1255" s="147"/>
      <c r="CE1255" s="147"/>
      <c r="CF1255" s="147"/>
      <c r="CG1255" s="147"/>
      <c r="CH1255" s="147"/>
      <c r="CI1255" s="147"/>
      <c r="CJ1255" s="147"/>
      <c r="CK1255" s="147"/>
    </row>
    <row r="1256" spans="1:89">
      <c r="A1256" s="147"/>
      <c r="B1256" s="147"/>
      <c r="C1256" s="147"/>
      <c r="D1256" s="147"/>
      <c r="E1256" s="147"/>
      <c r="F1256" s="147"/>
      <c r="G1256" s="147"/>
      <c r="H1256" s="147"/>
      <c r="I1256" s="147"/>
      <c r="J1256" s="147"/>
      <c r="K1256" s="147"/>
      <c r="L1256" s="147"/>
      <c r="M1256" s="147"/>
      <c r="N1256" s="147"/>
      <c r="O1256" s="158"/>
      <c r="P1256" s="147"/>
      <c r="Q1256" s="147"/>
      <c r="R1256" s="147"/>
      <c r="S1256" s="147"/>
      <c r="T1256" s="147"/>
      <c r="U1256" s="147"/>
      <c r="V1256" s="147"/>
      <c r="W1256" s="147"/>
      <c r="X1256" s="147"/>
      <c r="Y1256" s="147"/>
      <c r="Z1256" s="147"/>
      <c r="AA1256" s="147"/>
      <c r="AB1256" s="147"/>
      <c r="AC1256" s="147"/>
      <c r="AD1256" s="147"/>
      <c r="AE1256" s="147"/>
      <c r="AF1256" s="147"/>
      <c r="AG1256" s="147"/>
      <c r="AH1256" s="147"/>
      <c r="AI1256" s="147"/>
      <c r="AJ1256" s="147"/>
      <c r="AK1256" s="147"/>
      <c r="AL1256" s="147"/>
      <c r="AM1256" s="147"/>
      <c r="AN1256" s="147"/>
      <c r="AO1256" s="147"/>
      <c r="AP1256" s="147"/>
      <c r="AQ1256" s="147"/>
      <c r="AR1256" s="147"/>
      <c r="AS1256" s="147"/>
      <c r="AT1256" s="147"/>
      <c r="AU1256" s="147"/>
      <c r="AV1256" s="147"/>
      <c r="AW1256" s="147"/>
      <c r="AX1256" s="147"/>
      <c r="AY1256" s="147"/>
      <c r="AZ1256" s="147"/>
      <c r="BA1256" s="147"/>
      <c r="BB1256" s="147"/>
      <c r="BC1256" s="147"/>
      <c r="BD1256" s="147"/>
      <c r="BE1256" s="147"/>
      <c r="BF1256" s="147"/>
      <c r="BG1256" s="147"/>
      <c r="BH1256" s="147"/>
      <c r="BI1256" s="147"/>
      <c r="BJ1256" s="147"/>
      <c r="BK1256" s="147"/>
      <c r="BL1256" s="147"/>
      <c r="BM1256" s="147"/>
      <c r="BN1256" s="147"/>
      <c r="BO1256" s="147"/>
      <c r="BP1256" s="147"/>
      <c r="BQ1256" s="147"/>
      <c r="BR1256" s="147"/>
      <c r="BS1256" s="147"/>
      <c r="BT1256" s="147"/>
      <c r="BU1256" s="147"/>
      <c r="BV1256" s="147"/>
      <c r="BW1256" s="147"/>
      <c r="BX1256" s="147"/>
      <c r="BY1256" s="147"/>
      <c r="BZ1256" s="147"/>
      <c r="CA1256" s="147"/>
      <c r="CB1256" s="147"/>
      <c r="CC1256" s="147"/>
      <c r="CD1256" s="147"/>
      <c r="CE1256" s="147"/>
      <c r="CF1256" s="147"/>
      <c r="CG1256" s="147"/>
      <c r="CH1256" s="147"/>
      <c r="CI1256" s="147"/>
      <c r="CJ1256" s="147"/>
      <c r="CK1256" s="147"/>
    </row>
    <row r="1257" spans="1:89">
      <c r="A1257" s="147"/>
      <c r="B1257" s="147"/>
      <c r="C1257" s="147"/>
      <c r="D1257" s="147"/>
      <c r="E1257" s="147"/>
      <c r="F1257" s="147"/>
      <c r="G1257" s="147"/>
      <c r="H1257" s="147"/>
      <c r="I1257" s="147"/>
      <c r="J1257" s="147"/>
      <c r="K1257" s="147"/>
      <c r="L1257" s="147"/>
      <c r="M1257" s="147"/>
      <c r="N1257" s="147"/>
      <c r="O1257" s="158"/>
      <c r="P1257" s="147"/>
      <c r="Q1257" s="147"/>
      <c r="R1257" s="147"/>
      <c r="S1257" s="147"/>
      <c r="T1257" s="147"/>
      <c r="U1257" s="147"/>
      <c r="V1257" s="147"/>
      <c r="W1257" s="147"/>
      <c r="X1257" s="147"/>
      <c r="Y1257" s="147"/>
      <c r="Z1257" s="147"/>
      <c r="AA1257" s="147"/>
      <c r="AB1257" s="147"/>
      <c r="AC1257" s="147"/>
      <c r="AD1257" s="147"/>
      <c r="AE1257" s="147"/>
      <c r="AF1257" s="147"/>
      <c r="AG1257" s="147"/>
      <c r="AH1257" s="147"/>
      <c r="AI1257" s="147"/>
      <c r="AJ1257" s="147"/>
      <c r="AK1257" s="147"/>
      <c r="AL1257" s="147"/>
      <c r="AM1257" s="147"/>
      <c r="AN1257" s="147"/>
      <c r="AO1257" s="147"/>
      <c r="AP1257" s="147"/>
      <c r="AQ1257" s="147"/>
      <c r="AR1257" s="147"/>
      <c r="AS1257" s="147"/>
      <c r="AT1257" s="147"/>
      <c r="AU1257" s="147"/>
      <c r="AV1257" s="147"/>
      <c r="AW1257" s="147"/>
      <c r="AX1257" s="147"/>
      <c r="AY1257" s="147"/>
      <c r="AZ1257" s="147"/>
      <c r="BA1257" s="147"/>
      <c r="BB1257" s="147"/>
      <c r="BC1257" s="147"/>
      <c r="BD1257" s="147"/>
      <c r="BE1257" s="147"/>
      <c r="BF1257" s="147"/>
      <c r="BG1257" s="147"/>
      <c r="BH1257" s="147"/>
      <c r="BI1257" s="147"/>
      <c r="BJ1257" s="147"/>
      <c r="BK1257" s="147"/>
      <c r="BL1257" s="147"/>
      <c r="BM1257" s="147"/>
      <c r="BN1257" s="147"/>
      <c r="BO1257" s="147"/>
      <c r="BP1257" s="147"/>
      <c r="BQ1257" s="147"/>
      <c r="BR1257" s="147"/>
      <c r="BS1257" s="147"/>
      <c r="BT1257" s="147"/>
      <c r="BU1257" s="147"/>
      <c r="BV1257" s="147"/>
      <c r="BW1257" s="147"/>
      <c r="BX1257" s="147"/>
      <c r="BY1257" s="147"/>
      <c r="BZ1257" s="147"/>
      <c r="CA1257" s="147"/>
      <c r="CB1257" s="147"/>
      <c r="CC1257" s="147"/>
      <c r="CD1257" s="147"/>
      <c r="CE1257" s="147"/>
      <c r="CF1257" s="147"/>
      <c r="CG1257" s="147"/>
      <c r="CH1257" s="147"/>
      <c r="CI1257" s="147"/>
      <c r="CJ1257" s="147"/>
      <c r="CK1257" s="147"/>
    </row>
    <row r="1258" spans="1:89">
      <c r="A1258" s="147"/>
      <c r="B1258" s="147"/>
      <c r="C1258" s="147"/>
      <c r="D1258" s="147"/>
      <c r="E1258" s="147"/>
      <c r="F1258" s="147"/>
      <c r="G1258" s="147"/>
      <c r="H1258" s="147"/>
      <c r="I1258" s="147"/>
      <c r="J1258" s="147"/>
      <c r="K1258" s="147"/>
      <c r="L1258" s="147"/>
      <c r="M1258" s="147"/>
      <c r="N1258" s="147"/>
      <c r="O1258" s="158"/>
      <c r="P1258" s="147"/>
      <c r="Q1258" s="147"/>
      <c r="R1258" s="147"/>
      <c r="S1258" s="147"/>
      <c r="T1258" s="147"/>
      <c r="U1258" s="147"/>
      <c r="V1258" s="147"/>
      <c r="W1258" s="147"/>
      <c r="X1258" s="147"/>
      <c r="Y1258" s="147"/>
      <c r="Z1258" s="147"/>
      <c r="AA1258" s="147"/>
      <c r="AB1258" s="147"/>
      <c r="AC1258" s="147"/>
      <c r="AD1258" s="147"/>
      <c r="AE1258" s="147"/>
      <c r="AF1258" s="147"/>
      <c r="AG1258" s="147"/>
      <c r="AH1258" s="147"/>
      <c r="AI1258" s="147"/>
      <c r="AJ1258" s="147"/>
      <c r="AK1258" s="147"/>
      <c r="AL1258" s="147"/>
      <c r="AM1258" s="147"/>
      <c r="AN1258" s="147"/>
      <c r="AO1258" s="147"/>
      <c r="AP1258" s="147"/>
      <c r="AQ1258" s="147"/>
      <c r="AR1258" s="147"/>
      <c r="AS1258" s="147"/>
      <c r="AT1258" s="147"/>
      <c r="AU1258" s="147"/>
      <c r="AV1258" s="147"/>
      <c r="AW1258" s="147"/>
      <c r="AX1258" s="147"/>
      <c r="AY1258" s="147"/>
      <c r="AZ1258" s="147"/>
      <c r="BA1258" s="147"/>
      <c r="BB1258" s="147"/>
      <c r="BC1258" s="147"/>
      <c r="BD1258" s="147"/>
      <c r="BE1258" s="147"/>
      <c r="BF1258" s="147"/>
      <c r="BG1258" s="147"/>
      <c r="BH1258" s="147"/>
      <c r="BI1258" s="147"/>
      <c r="BJ1258" s="147"/>
      <c r="BK1258" s="147"/>
      <c r="BL1258" s="147"/>
      <c r="BM1258" s="147"/>
      <c r="BN1258" s="147"/>
      <c r="BO1258" s="147"/>
      <c r="BP1258" s="147"/>
      <c r="BQ1258" s="147"/>
      <c r="BR1258" s="147"/>
      <c r="BS1258" s="147"/>
      <c r="BT1258" s="147"/>
      <c r="BU1258" s="147"/>
      <c r="BV1258" s="147"/>
      <c r="BW1258" s="147"/>
      <c r="BX1258" s="147"/>
      <c r="BY1258" s="147"/>
      <c r="BZ1258" s="147"/>
      <c r="CA1258" s="147"/>
      <c r="CB1258" s="147"/>
      <c r="CC1258" s="147"/>
      <c r="CD1258" s="147"/>
      <c r="CE1258" s="147"/>
      <c r="CF1258" s="147"/>
      <c r="CG1258" s="147"/>
      <c r="CH1258" s="147"/>
      <c r="CI1258" s="147"/>
      <c r="CJ1258" s="147"/>
      <c r="CK1258" s="147"/>
    </row>
    <row r="1259" spans="1:89">
      <c r="A1259" s="147"/>
      <c r="B1259" s="147"/>
      <c r="C1259" s="147"/>
      <c r="D1259" s="147"/>
      <c r="E1259" s="147"/>
      <c r="F1259" s="147"/>
      <c r="G1259" s="147"/>
      <c r="H1259" s="147"/>
      <c r="I1259" s="147"/>
      <c r="J1259" s="147"/>
      <c r="K1259" s="147"/>
      <c r="L1259" s="147"/>
      <c r="M1259" s="147"/>
      <c r="N1259" s="147"/>
      <c r="O1259" s="158"/>
      <c r="P1259" s="147"/>
      <c r="Q1259" s="147"/>
      <c r="R1259" s="147"/>
      <c r="S1259" s="147"/>
      <c r="T1259" s="147"/>
      <c r="U1259" s="147"/>
      <c r="V1259" s="147"/>
      <c r="W1259" s="147"/>
      <c r="X1259" s="147"/>
      <c r="Y1259" s="147"/>
      <c r="Z1259" s="147"/>
      <c r="AA1259" s="147"/>
      <c r="AB1259" s="147"/>
      <c r="AC1259" s="147"/>
      <c r="AD1259" s="147"/>
      <c r="AE1259" s="147"/>
      <c r="AF1259" s="147"/>
      <c r="AG1259" s="147"/>
      <c r="AH1259" s="147"/>
      <c r="AI1259" s="147"/>
      <c r="AJ1259" s="147"/>
      <c r="AK1259" s="147"/>
      <c r="AL1259" s="147"/>
      <c r="AM1259" s="147"/>
      <c r="AN1259" s="147"/>
      <c r="AO1259" s="147"/>
      <c r="AP1259" s="147"/>
      <c r="AQ1259" s="147"/>
      <c r="AR1259" s="147"/>
      <c r="AS1259" s="147"/>
      <c r="AT1259" s="147"/>
      <c r="AU1259" s="147"/>
      <c r="AV1259" s="147"/>
      <c r="AW1259" s="147"/>
      <c r="AX1259" s="147"/>
      <c r="AY1259" s="147"/>
      <c r="AZ1259" s="147"/>
      <c r="BA1259" s="147"/>
      <c r="BB1259" s="147"/>
      <c r="BC1259" s="147"/>
      <c r="BD1259" s="147"/>
      <c r="BE1259" s="147"/>
      <c r="BF1259" s="147"/>
      <c r="BG1259" s="147"/>
      <c r="BH1259" s="147"/>
      <c r="BI1259" s="147"/>
      <c r="BJ1259" s="147"/>
      <c r="BK1259" s="147"/>
      <c r="BL1259" s="147"/>
      <c r="BM1259" s="147"/>
      <c r="BN1259" s="147"/>
      <c r="BO1259" s="147"/>
      <c r="BP1259" s="147"/>
      <c r="BQ1259" s="147"/>
      <c r="BR1259" s="147"/>
      <c r="BS1259" s="147"/>
      <c r="BT1259" s="147"/>
      <c r="BU1259" s="147"/>
      <c r="BV1259" s="147"/>
      <c r="BW1259" s="147"/>
      <c r="BX1259" s="147"/>
      <c r="BY1259" s="147"/>
      <c r="BZ1259" s="147"/>
      <c r="CA1259" s="147"/>
      <c r="CB1259" s="147"/>
      <c r="CC1259" s="147"/>
      <c r="CD1259" s="147"/>
      <c r="CE1259" s="147"/>
      <c r="CF1259" s="147"/>
      <c r="CG1259" s="147"/>
      <c r="CH1259" s="147"/>
      <c r="CI1259" s="147"/>
      <c r="CJ1259" s="147"/>
      <c r="CK1259" s="147"/>
    </row>
    <row r="1260" spans="1:89">
      <c r="A1260" s="147"/>
      <c r="B1260" s="147"/>
      <c r="C1260" s="147"/>
      <c r="D1260" s="147"/>
      <c r="E1260" s="147"/>
      <c r="F1260" s="147"/>
      <c r="G1260" s="147"/>
      <c r="H1260" s="147"/>
      <c r="I1260" s="147"/>
      <c r="J1260" s="147"/>
      <c r="K1260" s="147"/>
      <c r="L1260" s="147"/>
      <c r="M1260" s="147"/>
      <c r="N1260" s="147"/>
      <c r="O1260" s="158"/>
      <c r="P1260" s="147"/>
      <c r="Q1260" s="147"/>
      <c r="R1260" s="147"/>
      <c r="S1260" s="147"/>
      <c r="T1260" s="147"/>
      <c r="U1260" s="147"/>
      <c r="V1260" s="147"/>
      <c r="W1260" s="147"/>
      <c r="X1260" s="147"/>
      <c r="Y1260" s="147"/>
      <c r="Z1260" s="147"/>
      <c r="AA1260" s="147"/>
      <c r="AB1260" s="147"/>
      <c r="AC1260" s="147"/>
      <c r="AD1260" s="147"/>
      <c r="AE1260" s="147"/>
      <c r="AF1260" s="147"/>
      <c r="AG1260" s="147"/>
      <c r="AH1260" s="147"/>
      <c r="AI1260" s="147"/>
      <c r="AJ1260" s="147"/>
      <c r="AK1260" s="147"/>
      <c r="AL1260" s="147"/>
      <c r="AM1260" s="147"/>
      <c r="AN1260" s="147"/>
      <c r="AO1260" s="147"/>
      <c r="AP1260" s="147"/>
      <c r="AQ1260" s="147"/>
      <c r="AR1260" s="147"/>
      <c r="AS1260" s="147"/>
      <c r="AT1260" s="147"/>
      <c r="AU1260" s="147"/>
      <c r="AV1260" s="147"/>
      <c r="AW1260" s="147"/>
      <c r="AX1260" s="147"/>
      <c r="AY1260" s="147"/>
      <c r="AZ1260" s="147"/>
      <c r="BA1260" s="147"/>
      <c r="BB1260" s="147"/>
      <c r="BC1260" s="147"/>
      <c r="BD1260" s="147"/>
      <c r="BE1260" s="147"/>
      <c r="BF1260" s="147"/>
      <c r="BG1260" s="147"/>
      <c r="BH1260" s="147"/>
      <c r="BI1260" s="147"/>
      <c r="BJ1260" s="147"/>
      <c r="BK1260" s="147"/>
      <c r="BL1260" s="147"/>
      <c r="BM1260" s="147"/>
      <c r="BN1260" s="147"/>
      <c r="BO1260" s="147"/>
      <c r="BP1260" s="147"/>
      <c r="BQ1260" s="147"/>
      <c r="BR1260" s="147"/>
      <c r="BS1260" s="147"/>
      <c r="BT1260" s="147"/>
      <c r="BU1260" s="147"/>
      <c r="BV1260" s="147"/>
      <c r="BW1260" s="147"/>
      <c r="BX1260" s="147"/>
      <c r="BY1260" s="147"/>
      <c r="BZ1260" s="147"/>
      <c r="CA1260" s="147"/>
      <c r="CB1260" s="147"/>
      <c r="CC1260" s="147"/>
      <c r="CD1260" s="147"/>
      <c r="CE1260" s="147"/>
      <c r="CF1260" s="147"/>
      <c r="CG1260" s="147"/>
      <c r="CH1260" s="147"/>
      <c r="CI1260" s="147"/>
      <c r="CJ1260" s="147"/>
      <c r="CK1260" s="147"/>
    </row>
    <row r="1261" spans="1:89">
      <c r="A1261" s="147"/>
      <c r="B1261" s="147"/>
      <c r="C1261" s="147"/>
      <c r="D1261" s="147"/>
      <c r="E1261" s="147"/>
      <c r="F1261" s="147"/>
      <c r="G1261" s="147"/>
      <c r="H1261" s="147"/>
      <c r="I1261" s="147"/>
      <c r="J1261" s="147"/>
      <c r="K1261" s="147"/>
      <c r="L1261" s="147"/>
      <c r="M1261" s="147"/>
      <c r="N1261" s="147"/>
      <c r="O1261" s="158"/>
      <c r="P1261" s="147"/>
      <c r="Q1261" s="147"/>
      <c r="R1261" s="147"/>
      <c r="S1261" s="147"/>
      <c r="T1261" s="147"/>
      <c r="U1261" s="147"/>
      <c r="V1261" s="147"/>
      <c r="W1261" s="147"/>
      <c r="X1261" s="147"/>
      <c r="Y1261" s="147"/>
      <c r="Z1261" s="147"/>
      <c r="AA1261" s="147"/>
      <c r="AB1261" s="147"/>
      <c r="AC1261" s="147"/>
      <c r="AD1261" s="147"/>
      <c r="AE1261" s="147"/>
      <c r="AF1261" s="147"/>
      <c r="AG1261" s="147"/>
      <c r="AH1261" s="147"/>
      <c r="AI1261" s="147"/>
      <c r="AJ1261" s="147"/>
      <c r="AK1261" s="147"/>
      <c r="AL1261" s="147"/>
      <c r="AM1261" s="147"/>
      <c r="AN1261" s="147"/>
      <c r="AO1261" s="147"/>
      <c r="AP1261" s="147"/>
      <c r="AQ1261" s="147"/>
      <c r="AR1261" s="147"/>
      <c r="AS1261" s="147"/>
      <c r="AT1261" s="147"/>
      <c r="AU1261" s="147"/>
      <c r="AV1261" s="147"/>
      <c r="AW1261" s="147"/>
      <c r="AX1261" s="147"/>
      <c r="AY1261" s="147"/>
      <c r="AZ1261" s="147"/>
      <c r="BA1261" s="147"/>
      <c r="BB1261" s="147"/>
      <c r="BC1261" s="147"/>
      <c r="BD1261" s="147"/>
      <c r="BE1261" s="147"/>
      <c r="BF1261" s="147"/>
      <c r="BG1261" s="147"/>
      <c r="BH1261" s="147"/>
      <c r="BI1261" s="147"/>
      <c r="BJ1261" s="147"/>
      <c r="BK1261" s="147"/>
      <c r="BL1261" s="147"/>
      <c r="BM1261" s="147"/>
      <c r="BN1261" s="147"/>
      <c r="BO1261" s="147"/>
      <c r="BP1261" s="147"/>
      <c r="BQ1261" s="147"/>
      <c r="BR1261" s="147"/>
      <c r="BS1261" s="147"/>
      <c r="BT1261" s="147"/>
      <c r="BU1261" s="147"/>
      <c r="BV1261" s="147"/>
      <c r="BW1261" s="147"/>
      <c r="BX1261" s="147"/>
      <c r="BY1261" s="147"/>
      <c r="BZ1261" s="147"/>
      <c r="CA1261" s="147"/>
      <c r="CB1261" s="147"/>
      <c r="CC1261" s="147"/>
      <c r="CD1261" s="147"/>
      <c r="CE1261" s="147"/>
      <c r="CF1261" s="147"/>
      <c r="CG1261" s="147"/>
      <c r="CH1261" s="147"/>
      <c r="CI1261" s="147"/>
      <c r="CJ1261" s="147"/>
      <c r="CK1261" s="147"/>
    </row>
    <row r="1262" spans="1:89">
      <c r="A1262" s="147"/>
      <c r="B1262" s="147"/>
      <c r="C1262" s="147"/>
      <c r="D1262" s="147"/>
      <c r="E1262" s="147"/>
      <c r="F1262" s="147"/>
      <c r="G1262" s="147"/>
      <c r="H1262" s="147"/>
      <c r="I1262" s="147"/>
      <c r="J1262" s="147"/>
      <c r="K1262" s="147"/>
      <c r="L1262" s="147"/>
      <c r="M1262" s="147"/>
      <c r="N1262" s="147"/>
      <c r="O1262" s="158"/>
      <c r="P1262" s="147"/>
      <c r="Q1262" s="147"/>
      <c r="R1262" s="147"/>
      <c r="S1262" s="147"/>
      <c r="T1262" s="147"/>
      <c r="U1262" s="147"/>
      <c r="V1262" s="147"/>
      <c r="W1262" s="147"/>
      <c r="X1262" s="147"/>
      <c r="Y1262" s="147"/>
      <c r="Z1262" s="147"/>
      <c r="AA1262" s="147"/>
      <c r="AB1262" s="147"/>
      <c r="AC1262" s="147"/>
      <c r="AD1262" s="147"/>
      <c r="AE1262" s="147"/>
      <c r="AF1262" s="147"/>
      <c r="AG1262" s="147"/>
      <c r="AH1262" s="147"/>
      <c r="AI1262" s="147"/>
      <c r="AJ1262" s="147"/>
      <c r="AK1262" s="147"/>
      <c r="AL1262" s="147"/>
      <c r="AM1262" s="147"/>
      <c r="AN1262" s="147"/>
      <c r="AO1262" s="147"/>
      <c r="AP1262" s="147"/>
      <c r="AQ1262" s="147"/>
      <c r="AR1262" s="147"/>
      <c r="AS1262" s="147"/>
      <c r="AT1262" s="147"/>
      <c r="AU1262" s="147"/>
      <c r="AV1262" s="147"/>
      <c r="AW1262" s="147"/>
      <c r="AX1262" s="147"/>
      <c r="AY1262" s="147"/>
      <c r="AZ1262" s="147"/>
      <c r="BA1262" s="147"/>
      <c r="BB1262" s="147"/>
      <c r="BC1262" s="147"/>
      <c r="BD1262" s="147"/>
      <c r="BE1262" s="147"/>
      <c r="BF1262" s="147"/>
      <c r="BG1262" s="147"/>
      <c r="BH1262" s="147"/>
      <c r="BI1262" s="147"/>
      <c r="BJ1262" s="147"/>
      <c r="BK1262" s="147"/>
      <c r="BL1262" s="147"/>
      <c r="BM1262" s="147"/>
      <c r="BN1262" s="147"/>
      <c r="BO1262" s="147"/>
      <c r="BP1262" s="147"/>
      <c r="BQ1262" s="147"/>
      <c r="BR1262" s="147"/>
      <c r="BS1262" s="147"/>
      <c r="BT1262" s="147"/>
      <c r="BU1262" s="147"/>
      <c r="BV1262" s="147"/>
      <c r="BW1262" s="147"/>
      <c r="BX1262" s="147"/>
      <c r="BY1262" s="147"/>
      <c r="BZ1262" s="147"/>
      <c r="CA1262" s="147"/>
      <c r="CB1262" s="147"/>
      <c r="CC1262" s="147"/>
      <c r="CD1262" s="147"/>
      <c r="CE1262" s="147"/>
      <c r="CF1262" s="147"/>
      <c r="CG1262" s="147"/>
      <c r="CH1262" s="147"/>
      <c r="CI1262" s="147"/>
      <c r="CJ1262" s="147"/>
      <c r="CK1262" s="147"/>
    </row>
    <row r="1263" spans="1:89">
      <c r="A1263" s="147"/>
      <c r="B1263" s="147"/>
      <c r="C1263" s="147"/>
      <c r="D1263" s="147"/>
      <c r="E1263" s="147"/>
      <c r="F1263" s="147"/>
      <c r="G1263" s="147"/>
      <c r="H1263" s="147"/>
      <c r="I1263" s="147"/>
      <c r="J1263" s="147"/>
      <c r="K1263" s="147"/>
      <c r="L1263" s="147"/>
      <c r="M1263" s="147"/>
      <c r="N1263" s="147"/>
      <c r="O1263" s="158"/>
      <c r="P1263" s="147"/>
      <c r="Q1263" s="147"/>
      <c r="R1263" s="147"/>
      <c r="S1263" s="147"/>
      <c r="T1263" s="147"/>
      <c r="U1263" s="147"/>
      <c r="V1263" s="147"/>
      <c r="W1263" s="147"/>
      <c r="X1263" s="147"/>
      <c r="Y1263" s="147"/>
      <c r="Z1263" s="147"/>
      <c r="AA1263" s="147"/>
      <c r="AB1263" s="147"/>
      <c r="AC1263" s="147"/>
      <c r="AD1263" s="147"/>
      <c r="AE1263" s="147"/>
      <c r="AF1263" s="147"/>
      <c r="AG1263" s="147"/>
      <c r="AH1263" s="147"/>
      <c r="AI1263" s="147"/>
      <c r="AJ1263" s="147"/>
      <c r="AK1263" s="147"/>
      <c r="AL1263" s="147"/>
      <c r="AM1263" s="147"/>
      <c r="AN1263" s="147"/>
      <c r="AO1263" s="147"/>
      <c r="AP1263" s="147"/>
      <c r="AQ1263" s="147"/>
      <c r="AR1263" s="147"/>
      <c r="AS1263" s="147"/>
      <c r="AT1263" s="147"/>
      <c r="AU1263" s="147"/>
      <c r="AV1263" s="147"/>
      <c r="AW1263" s="147"/>
      <c r="AX1263" s="147"/>
      <c r="AY1263" s="147"/>
      <c r="AZ1263" s="147"/>
      <c r="BA1263" s="147"/>
      <c r="BB1263" s="147"/>
      <c r="BC1263" s="147"/>
      <c r="BD1263" s="147"/>
      <c r="BE1263" s="147"/>
      <c r="BF1263" s="147"/>
      <c r="BG1263" s="147"/>
      <c r="BH1263" s="147"/>
      <c r="BI1263" s="147"/>
      <c r="BJ1263" s="147"/>
      <c r="BK1263" s="147"/>
      <c r="BL1263" s="147"/>
      <c r="BM1263" s="147"/>
      <c r="BN1263" s="147"/>
      <c r="BO1263" s="147"/>
      <c r="BP1263" s="147"/>
      <c r="BQ1263" s="147"/>
      <c r="BR1263" s="147"/>
      <c r="BS1263" s="147"/>
      <c r="BT1263" s="147"/>
      <c r="BU1263" s="147"/>
      <c r="BV1263" s="147"/>
      <c r="BW1263" s="147"/>
      <c r="BX1263" s="147"/>
      <c r="BY1263" s="147"/>
      <c r="BZ1263" s="147"/>
      <c r="CA1263" s="147"/>
      <c r="CB1263" s="147"/>
      <c r="CC1263" s="147"/>
      <c r="CD1263" s="147"/>
      <c r="CE1263" s="147"/>
      <c r="CF1263" s="147"/>
      <c r="CG1263" s="147"/>
      <c r="CH1263" s="147"/>
      <c r="CI1263" s="147"/>
      <c r="CJ1263" s="147"/>
      <c r="CK1263" s="147"/>
    </row>
    <row r="1264" spans="1:89">
      <c r="A1264" s="147"/>
      <c r="B1264" s="147"/>
      <c r="C1264" s="147"/>
      <c r="D1264" s="147"/>
      <c r="E1264" s="147"/>
      <c r="F1264" s="147"/>
      <c r="G1264" s="147"/>
      <c r="H1264" s="147"/>
      <c r="I1264" s="147"/>
      <c r="J1264" s="147"/>
      <c r="K1264" s="147"/>
      <c r="L1264" s="147"/>
      <c r="M1264" s="147"/>
      <c r="N1264" s="147"/>
      <c r="O1264" s="158"/>
      <c r="P1264" s="147"/>
      <c r="Q1264" s="147"/>
      <c r="R1264" s="147"/>
      <c r="S1264" s="147"/>
      <c r="T1264" s="147"/>
      <c r="U1264" s="147"/>
      <c r="V1264" s="147"/>
      <c r="W1264" s="147"/>
      <c r="X1264" s="147"/>
      <c r="Y1264" s="147"/>
      <c r="Z1264" s="147"/>
      <c r="AA1264" s="147"/>
      <c r="AB1264" s="147"/>
      <c r="AC1264" s="147"/>
      <c r="AD1264" s="147"/>
      <c r="AE1264" s="147"/>
      <c r="AF1264" s="147"/>
      <c r="AG1264" s="147"/>
      <c r="AH1264" s="147"/>
      <c r="AI1264" s="147"/>
      <c r="AJ1264" s="147"/>
      <c r="AK1264" s="147"/>
      <c r="AL1264" s="147"/>
      <c r="AM1264" s="147"/>
      <c r="AN1264" s="147"/>
      <c r="AO1264" s="147"/>
      <c r="AP1264" s="147"/>
      <c r="AQ1264" s="147"/>
      <c r="AR1264" s="147"/>
      <c r="AS1264" s="147"/>
      <c r="AT1264" s="147"/>
      <c r="AU1264" s="147"/>
      <c r="AV1264" s="147"/>
      <c r="AW1264" s="147"/>
      <c r="AX1264" s="147"/>
      <c r="AY1264" s="147"/>
      <c r="AZ1264" s="147"/>
      <c r="BA1264" s="147"/>
      <c r="BB1264" s="147"/>
      <c r="BC1264" s="147"/>
      <c r="BD1264" s="147"/>
      <c r="BE1264" s="147"/>
      <c r="BF1264" s="147"/>
      <c r="BG1264" s="147"/>
      <c r="BH1264" s="147"/>
      <c r="BI1264" s="147"/>
      <c r="BJ1264" s="147"/>
      <c r="BK1264" s="147"/>
      <c r="BL1264" s="147"/>
      <c r="BM1264" s="147"/>
      <c r="BN1264" s="147"/>
      <c r="BO1264" s="147"/>
      <c r="BP1264" s="147"/>
      <c r="BQ1264" s="147"/>
      <c r="BR1264" s="147"/>
      <c r="BS1264" s="147"/>
      <c r="BT1264" s="147"/>
      <c r="BU1264" s="147"/>
      <c r="BV1264" s="147"/>
      <c r="BW1264" s="147"/>
      <c r="BX1264" s="147"/>
      <c r="BY1264" s="147"/>
      <c r="BZ1264" s="147"/>
      <c r="CA1264" s="147"/>
      <c r="CB1264" s="147"/>
      <c r="CC1264" s="147"/>
      <c r="CD1264" s="147"/>
      <c r="CE1264" s="147"/>
      <c r="CF1264" s="147"/>
      <c r="CG1264" s="147"/>
      <c r="CH1264" s="147"/>
      <c r="CI1264" s="147"/>
      <c r="CJ1264" s="147"/>
      <c r="CK1264" s="147"/>
    </row>
    <row r="1265" spans="1:89">
      <c r="A1265" s="147"/>
      <c r="B1265" s="147"/>
      <c r="C1265" s="147"/>
      <c r="D1265" s="147"/>
      <c r="E1265" s="147"/>
      <c r="F1265" s="147"/>
      <c r="G1265" s="147"/>
      <c r="H1265" s="147"/>
      <c r="I1265" s="147"/>
      <c r="J1265" s="147"/>
      <c r="K1265" s="147"/>
      <c r="L1265" s="147"/>
      <c r="M1265" s="147"/>
      <c r="N1265" s="147"/>
      <c r="O1265" s="158"/>
      <c r="P1265" s="147"/>
      <c r="Q1265" s="147"/>
      <c r="R1265" s="147"/>
      <c r="S1265" s="147"/>
      <c r="T1265" s="147"/>
      <c r="U1265" s="147"/>
      <c r="V1265" s="147"/>
      <c r="W1265" s="147"/>
      <c r="X1265" s="147"/>
      <c r="Y1265" s="147"/>
      <c r="Z1265" s="147"/>
      <c r="AA1265" s="147"/>
      <c r="AB1265" s="147"/>
      <c r="AC1265" s="147"/>
      <c r="AD1265" s="147"/>
      <c r="AE1265" s="147"/>
      <c r="AF1265" s="147"/>
      <c r="AG1265" s="147"/>
      <c r="AH1265" s="147"/>
      <c r="AI1265" s="147"/>
      <c r="AJ1265" s="147"/>
      <c r="AK1265" s="147"/>
      <c r="AL1265" s="147"/>
      <c r="AM1265" s="147"/>
      <c r="AN1265" s="147"/>
      <c r="AO1265" s="147"/>
      <c r="AP1265" s="147"/>
      <c r="AQ1265" s="147"/>
      <c r="AR1265" s="147"/>
      <c r="AS1265" s="147"/>
      <c r="AT1265" s="147"/>
      <c r="AU1265" s="147"/>
      <c r="AV1265" s="147"/>
      <c r="AW1265" s="147"/>
      <c r="AX1265" s="147"/>
      <c r="AY1265" s="147"/>
      <c r="AZ1265" s="147"/>
      <c r="BA1265" s="147"/>
      <c r="BB1265" s="147"/>
      <c r="BC1265" s="147"/>
      <c r="BD1265" s="147"/>
      <c r="BE1265" s="147"/>
      <c r="BF1265" s="147"/>
      <c r="BG1265" s="147"/>
      <c r="BH1265" s="147"/>
      <c r="BI1265" s="147"/>
      <c r="BJ1265" s="147"/>
      <c r="BK1265" s="147"/>
      <c r="BL1265" s="147"/>
      <c r="BM1265" s="147"/>
      <c r="BN1265" s="147"/>
      <c r="BO1265" s="147"/>
      <c r="BP1265" s="147"/>
      <c r="BQ1265" s="147"/>
      <c r="BR1265" s="147"/>
      <c r="BS1265" s="147"/>
      <c r="BT1265" s="147"/>
      <c r="BU1265" s="147"/>
      <c r="BV1265" s="147"/>
      <c r="BW1265" s="147"/>
      <c r="BX1265" s="147"/>
      <c r="BY1265" s="147"/>
      <c r="BZ1265" s="147"/>
      <c r="CA1265" s="147"/>
      <c r="CB1265" s="147"/>
      <c r="CC1265" s="147"/>
      <c r="CD1265" s="147"/>
      <c r="CE1265" s="147"/>
      <c r="CF1265" s="147"/>
      <c r="CG1265" s="147"/>
      <c r="CH1265" s="147"/>
      <c r="CI1265" s="147"/>
      <c r="CJ1265" s="147"/>
      <c r="CK1265" s="147"/>
    </row>
    <row r="1266" spans="1:89">
      <c r="A1266" s="147"/>
      <c r="B1266" s="147"/>
      <c r="C1266" s="147"/>
      <c r="D1266" s="147"/>
      <c r="E1266" s="147"/>
      <c r="F1266" s="147"/>
      <c r="G1266" s="147"/>
      <c r="H1266" s="147"/>
      <c r="I1266" s="147"/>
      <c r="J1266" s="147"/>
      <c r="K1266" s="147"/>
      <c r="L1266" s="147"/>
      <c r="M1266" s="147"/>
      <c r="N1266" s="147"/>
      <c r="O1266" s="158"/>
      <c r="P1266" s="147"/>
      <c r="Q1266" s="147"/>
      <c r="R1266" s="147"/>
      <c r="S1266" s="147"/>
      <c r="T1266" s="147"/>
      <c r="U1266" s="147"/>
      <c r="V1266" s="147"/>
      <c r="W1266" s="147"/>
      <c r="X1266" s="147"/>
      <c r="Y1266" s="147"/>
      <c r="Z1266" s="147"/>
      <c r="AA1266" s="147"/>
      <c r="AB1266" s="147"/>
      <c r="AC1266" s="147"/>
      <c r="AD1266" s="147"/>
      <c r="AE1266" s="147"/>
      <c r="AF1266" s="147"/>
      <c r="AG1266" s="147"/>
      <c r="AH1266" s="147"/>
      <c r="AI1266" s="147"/>
      <c r="AJ1266" s="147"/>
      <c r="AK1266" s="147"/>
      <c r="AL1266" s="147"/>
      <c r="AM1266" s="147"/>
      <c r="AN1266" s="147"/>
      <c r="AO1266" s="147"/>
      <c r="AP1266" s="147"/>
      <c r="AQ1266" s="147"/>
      <c r="AR1266" s="147"/>
      <c r="AS1266" s="147"/>
      <c r="AT1266" s="147"/>
      <c r="AU1266" s="147"/>
      <c r="AV1266" s="147"/>
      <c r="AW1266" s="147"/>
      <c r="AX1266" s="147"/>
      <c r="AY1266" s="147"/>
      <c r="AZ1266" s="147"/>
      <c r="BA1266" s="147"/>
      <c r="BB1266" s="147"/>
      <c r="BC1266" s="147"/>
      <c r="BD1266" s="147"/>
      <c r="BE1266" s="147"/>
      <c r="BF1266" s="147"/>
      <c r="BG1266" s="147"/>
      <c r="BH1266" s="147"/>
      <c r="BI1266" s="147"/>
      <c r="BJ1266" s="147"/>
      <c r="BK1266" s="147"/>
      <c r="BL1266" s="147"/>
      <c r="BM1266" s="147"/>
      <c r="BN1266" s="147"/>
      <c r="BO1266" s="147"/>
      <c r="BP1266" s="147"/>
      <c r="BQ1266" s="147"/>
      <c r="BR1266" s="147"/>
      <c r="BS1266" s="147"/>
      <c r="BT1266" s="147"/>
      <c r="BU1266" s="147"/>
      <c r="BV1266" s="147"/>
      <c r="BW1266" s="147"/>
      <c r="BX1266" s="147"/>
      <c r="BY1266" s="147"/>
      <c r="BZ1266" s="147"/>
      <c r="CA1266" s="147"/>
      <c r="CB1266" s="147"/>
      <c r="CC1266" s="147"/>
      <c r="CD1266" s="147"/>
      <c r="CE1266" s="147"/>
      <c r="CF1266" s="147"/>
      <c r="CG1266" s="147"/>
      <c r="CH1266" s="147"/>
      <c r="CI1266" s="147"/>
      <c r="CJ1266" s="147"/>
      <c r="CK1266" s="147"/>
    </row>
    <row r="1267" spans="1:89">
      <c r="A1267" s="147"/>
      <c r="B1267" s="147"/>
      <c r="C1267" s="147"/>
      <c r="D1267" s="147"/>
      <c r="E1267" s="147"/>
      <c r="F1267" s="147"/>
      <c r="G1267" s="147"/>
      <c r="H1267" s="147"/>
      <c r="I1267" s="147"/>
      <c r="J1267" s="147"/>
      <c r="K1267" s="147"/>
      <c r="L1267" s="147"/>
      <c r="M1267" s="147"/>
      <c r="N1267" s="147"/>
      <c r="O1267" s="158"/>
      <c r="P1267" s="147"/>
      <c r="Q1267" s="147"/>
      <c r="R1267" s="147"/>
      <c r="S1267" s="147"/>
      <c r="T1267" s="147"/>
      <c r="U1267" s="147"/>
      <c r="V1267" s="147"/>
      <c r="W1267" s="147"/>
      <c r="X1267" s="147"/>
      <c r="Y1267" s="147"/>
      <c r="Z1267" s="147"/>
      <c r="AA1267" s="147"/>
      <c r="AB1267" s="147"/>
      <c r="AC1267" s="147"/>
      <c r="AD1267" s="147"/>
      <c r="AE1267" s="147"/>
      <c r="AF1267" s="147"/>
      <c r="AG1267" s="147"/>
      <c r="AH1267" s="147"/>
      <c r="AI1267" s="147"/>
      <c r="AJ1267" s="147"/>
      <c r="AK1267" s="147"/>
      <c r="AL1267" s="147"/>
      <c r="AM1267" s="147"/>
      <c r="AN1267" s="147"/>
      <c r="AO1267" s="147"/>
      <c r="AP1267" s="147"/>
      <c r="AQ1267" s="147"/>
      <c r="AR1267" s="147"/>
      <c r="AS1267" s="147"/>
      <c r="AT1267" s="147"/>
      <c r="AU1267" s="147"/>
      <c r="AV1267" s="147"/>
      <c r="AW1267" s="147"/>
      <c r="AX1267" s="147"/>
      <c r="AY1267" s="147"/>
      <c r="AZ1267" s="147"/>
      <c r="BA1267" s="147"/>
      <c r="BB1267" s="147"/>
      <c r="BC1267" s="147"/>
      <c r="BD1267" s="147"/>
      <c r="BE1267" s="147"/>
      <c r="BF1267" s="147"/>
      <c r="BG1267" s="147"/>
      <c r="BH1267" s="147"/>
      <c r="BI1267" s="147"/>
      <c r="BJ1267" s="147"/>
      <c r="BK1267" s="147"/>
      <c r="BL1267" s="147"/>
      <c r="BM1267" s="147"/>
      <c r="BN1267" s="147"/>
      <c r="BO1267" s="147"/>
      <c r="BP1267" s="147"/>
      <c r="BQ1267" s="147"/>
      <c r="BR1267" s="147"/>
      <c r="BS1267" s="147"/>
      <c r="BT1267" s="147"/>
      <c r="BU1267" s="147"/>
      <c r="BV1267" s="147"/>
      <c r="BW1267" s="147"/>
      <c r="BX1267" s="147"/>
      <c r="BY1267" s="147"/>
      <c r="BZ1267" s="147"/>
      <c r="CA1267" s="147"/>
      <c r="CB1267" s="147"/>
      <c r="CC1267" s="147"/>
      <c r="CD1267" s="147"/>
      <c r="CE1267" s="147"/>
      <c r="CF1267" s="147"/>
      <c r="CG1267" s="147"/>
      <c r="CH1267" s="147"/>
      <c r="CI1267" s="147"/>
      <c r="CJ1267" s="147"/>
      <c r="CK1267" s="147"/>
    </row>
    <row r="1268" spans="1:89">
      <c r="A1268" s="147"/>
      <c r="B1268" s="147"/>
      <c r="C1268" s="147"/>
      <c r="D1268" s="147"/>
      <c r="E1268" s="147"/>
      <c r="F1268" s="147"/>
      <c r="G1268" s="147"/>
      <c r="H1268" s="147"/>
      <c r="I1268" s="147"/>
      <c r="J1268" s="147"/>
      <c r="K1268" s="147"/>
      <c r="L1268" s="147"/>
      <c r="M1268" s="147"/>
      <c r="N1268" s="147"/>
      <c r="O1268" s="158"/>
      <c r="P1268" s="147"/>
      <c r="Q1268" s="147"/>
      <c r="R1268" s="147"/>
      <c r="S1268" s="147"/>
      <c r="T1268" s="147"/>
      <c r="U1268" s="147"/>
      <c r="V1268" s="147"/>
      <c r="W1268" s="147"/>
      <c r="X1268" s="147"/>
      <c r="Y1268" s="147"/>
      <c r="Z1268" s="147"/>
      <c r="AA1268" s="147"/>
      <c r="AB1268" s="147"/>
      <c r="AC1268" s="147"/>
      <c r="AD1268" s="147"/>
      <c r="AE1268" s="147"/>
      <c r="AF1268" s="147"/>
      <c r="AG1268" s="147"/>
      <c r="AH1268" s="147"/>
      <c r="AI1268" s="147"/>
      <c r="AJ1268" s="147"/>
      <c r="AK1268" s="147"/>
      <c r="AL1268" s="147"/>
      <c r="AM1268" s="147"/>
      <c r="AN1268" s="147"/>
      <c r="AO1268" s="147"/>
      <c r="AP1268" s="147"/>
      <c r="AQ1268" s="147"/>
      <c r="AR1268" s="147"/>
      <c r="AS1268" s="147"/>
      <c r="AT1268" s="147"/>
      <c r="AU1268" s="147"/>
      <c r="AV1268" s="147"/>
      <c r="AW1268" s="147"/>
      <c r="AX1268" s="147"/>
      <c r="AY1268" s="147"/>
      <c r="AZ1268" s="147"/>
      <c r="BA1268" s="147"/>
      <c r="BB1268" s="147"/>
      <c r="BC1268" s="147"/>
      <c r="BD1268" s="147"/>
      <c r="BE1268" s="147"/>
      <c r="BF1268" s="147"/>
      <c r="BG1268" s="147"/>
      <c r="BH1268" s="147"/>
      <c r="BI1268" s="147"/>
      <c r="BJ1268" s="147"/>
      <c r="BK1268" s="147"/>
      <c r="BL1268" s="147"/>
      <c r="BM1268" s="147"/>
      <c r="BN1268" s="147"/>
      <c r="BO1268" s="147"/>
      <c r="BP1268" s="147"/>
      <c r="BQ1268" s="147"/>
      <c r="BR1268" s="147"/>
      <c r="BS1268" s="147"/>
      <c r="BT1268" s="147"/>
      <c r="BU1268" s="147"/>
      <c r="BV1268" s="147"/>
      <c r="BW1268" s="147"/>
      <c r="BX1268" s="147"/>
      <c r="BY1268" s="147"/>
      <c r="BZ1268" s="147"/>
      <c r="CA1268" s="147"/>
      <c r="CB1268" s="147"/>
      <c r="CC1268" s="147"/>
      <c r="CD1268" s="147"/>
      <c r="CE1268" s="147"/>
      <c r="CF1268" s="147"/>
      <c r="CG1268" s="147"/>
      <c r="CH1268" s="147"/>
      <c r="CI1268" s="147"/>
      <c r="CJ1268" s="147"/>
      <c r="CK1268" s="147"/>
    </row>
    <row r="1269" spans="1:89">
      <c r="A1269" s="147"/>
      <c r="B1269" s="147"/>
      <c r="C1269" s="147"/>
      <c r="D1269" s="147"/>
      <c r="E1269" s="147"/>
      <c r="F1269" s="147"/>
      <c r="G1269" s="147"/>
      <c r="H1269" s="147"/>
      <c r="I1269" s="147"/>
      <c r="J1269" s="147"/>
      <c r="K1269" s="147"/>
      <c r="L1269" s="147"/>
      <c r="M1269" s="147"/>
      <c r="N1269" s="147"/>
      <c r="O1269" s="158"/>
      <c r="P1269" s="147"/>
      <c r="Q1269" s="147"/>
      <c r="R1269" s="147"/>
      <c r="S1269" s="147"/>
      <c r="T1269" s="147"/>
      <c r="U1269" s="147"/>
      <c r="V1269" s="147"/>
      <c r="W1269" s="147"/>
      <c r="X1269" s="147"/>
      <c r="Y1269" s="147"/>
      <c r="Z1269" s="147"/>
      <c r="AA1269" s="147"/>
      <c r="AB1269" s="147"/>
      <c r="AC1269" s="147"/>
      <c r="AD1269" s="147"/>
      <c r="AE1269" s="147"/>
      <c r="AF1269" s="147"/>
      <c r="AG1269" s="147"/>
      <c r="AH1269" s="147"/>
      <c r="AI1269" s="147"/>
      <c r="AJ1269" s="147"/>
      <c r="AK1269" s="147"/>
      <c r="AL1269" s="147"/>
      <c r="AM1269" s="147"/>
      <c r="AN1269" s="147"/>
      <c r="AO1269" s="147"/>
      <c r="AP1269" s="147"/>
      <c r="AQ1269" s="147"/>
      <c r="AR1269" s="147"/>
      <c r="AS1269" s="147"/>
      <c r="AT1269" s="147"/>
      <c r="AU1269" s="147"/>
      <c r="AV1269" s="147"/>
      <c r="AW1269" s="147"/>
      <c r="AX1269" s="147"/>
      <c r="AY1269" s="147"/>
      <c r="AZ1269" s="147"/>
      <c r="BA1269" s="147"/>
      <c r="BB1269" s="147"/>
      <c r="BC1269" s="147"/>
      <c r="BD1269" s="147"/>
      <c r="BE1269" s="147"/>
      <c r="BF1269" s="147"/>
      <c r="BG1269" s="147"/>
      <c r="BH1269" s="147"/>
      <c r="BI1269" s="147"/>
      <c r="BJ1269" s="147"/>
      <c r="BK1269" s="147"/>
      <c r="BL1269" s="147"/>
      <c r="BM1269" s="147"/>
      <c r="BN1269" s="147"/>
      <c r="BO1269" s="147"/>
      <c r="BP1269" s="147"/>
      <c r="BQ1269" s="147"/>
      <c r="BR1269" s="147"/>
      <c r="BS1269" s="147"/>
      <c r="BT1269" s="147"/>
      <c r="BU1269" s="147"/>
      <c r="BV1269" s="147"/>
      <c r="BW1269" s="147"/>
      <c r="BX1269" s="147"/>
      <c r="BY1269" s="147"/>
      <c r="BZ1269" s="147"/>
      <c r="CA1269" s="147"/>
      <c r="CB1269" s="147"/>
      <c r="CC1269" s="147"/>
      <c r="CD1269" s="147"/>
      <c r="CE1269" s="147"/>
      <c r="CF1269" s="147"/>
      <c r="CG1269" s="147"/>
      <c r="CH1269" s="147"/>
      <c r="CI1269" s="147"/>
      <c r="CJ1269" s="147"/>
      <c r="CK1269" s="147"/>
    </row>
    <row r="1270" spans="1:89">
      <c r="A1270" s="147"/>
      <c r="B1270" s="147"/>
      <c r="C1270" s="147"/>
      <c r="D1270" s="147"/>
      <c r="E1270" s="147"/>
      <c r="F1270" s="147"/>
      <c r="G1270" s="147"/>
      <c r="H1270" s="147"/>
      <c r="I1270" s="147"/>
      <c r="J1270" s="147"/>
      <c r="K1270" s="147"/>
      <c r="L1270" s="147"/>
      <c r="M1270" s="147"/>
      <c r="N1270" s="147"/>
      <c r="O1270" s="158"/>
      <c r="P1270" s="147"/>
      <c r="Q1270" s="147"/>
      <c r="R1270" s="147"/>
      <c r="S1270" s="147"/>
      <c r="T1270" s="147"/>
      <c r="U1270" s="147"/>
      <c r="V1270" s="147"/>
      <c r="W1270" s="147"/>
      <c r="X1270" s="147"/>
      <c r="Y1270" s="147"/>
      <c r="Z1270" s="147"/>
      <c r="AA1270" s="147"/>
      <c r="AB1270" s="147"/>
      <c r="AC1270" s="147"/>
      <c r="AD1270" s="147"/>
      <c r="AE1270" s="147"/>
      <c r="AF1270" s="147"/>
      <c r="AG1270" s="147"/>
      <c r="AH1270" s="147"/>
      <c r="AI1270" s="147"/>
      <c r="AJ1270" s="147"/>
      <c r="AK1270" s="147"/>
      <c r="AL1270" s="147"/>
      <c r="AM1270" s="147"/>
      <c r="AN1270" s="147"/>
      <c r="AO1270" s="147"/>
      <c r="AP1270" s="147"/>
      <c r="AQ1270" s="147"/>
      <c r="AR1270" s="147"/>
      <c r="AS1270" s="147"/>
      <c r="AT1270" s="147"/>
      <c r="AU1270" s="147"/>
      <c r="AV1270" s="147"/>
      <c r="AW1270" s="147"/>
      <c r="AX1270" s="147"/>
      <c r="AY1270" s="147"/>
      <c r="AZ1270" s="147"/>
      <c r="BA1270" s="147"/>
      <c r="BB1270" s="147"/>
      <c r="BC1270" s="147"/>
      <c r="BD1270" s="147"/>
      <c r="BE1270" s="147"/>
      <c r="BF1270" s="147"/>
      <c r="BG1270" s="147"/>
      <c r="BH1270" s="147"/>
      <c r="BI1270" s="147"/>
      <c r="BJ1270" s="147"/>
      <c r="BK1270" s="147"/>
      <c r="BL1270" s="147"/>
      <c r="BM1270" s="147"/>
      <c r="BN1270" s="147"/>
      <c r="BO1270" s="147"/>
      <c r="BP1270" s="147"/>
      <c r="BQ1270" s="147"/>
      <c r="BR1270" s="147"/>
      <c r="BS1270" s="147"/>
      <c r="BT1270" s="147"/>
      <c r="BU1270" s="147"/>
      <c r="BV1270" s="147"/>
      <c r="BW1270" s="147"/>
      <c r="BX1270" s="147"/>
      <c r="BY1270" s="147"/>
      <c r="BZ1270" s="147"/>
      <c r="CA1270" s="147"/>
      <c r="CB1270" s="147"/>
      <c r="CC1270" s="147"/>
      <c r="CD1270" s="147"/>
      <c r="CE1270" s="147"/>
      <c r="CF1270" s="147"/>
      <c r="CG1270" s="147"/>
      <c r="CH1270" s="147"/>
      <c r="CI1270" s="147"/>
      <c r="CJ1270" s="147"/>
      <c r="CK1270" s="147"/>
    </row>
    <row r="1271" spans="1:89">
      <c r="A1271" s="147"/>
      <c r="B1271" s="147"/>
      <c r="C1271" s="147"/>
      <c r="D1271" s="147"/>
      <c r="E1271" s="147"/>
      <c r="F1271" s="147"/>
      <c r="G1271" s="147"/>
      <c r="H1271" s="147"/>
      <c r="I1271" s="147"/>
      <c r="J1271" s="147"/>
      <c r="K1271" s="147"/>
      <c r="L1271" s="147"/>
      <c r="M1271" s="147"/>
      <c r="N1271" s="147"/>
      <c r="O1271" s="158"/>
      <c r="P1271" s="147"/>
      <c r="Q1271" s="147"/>
      <c r="R1271" s="147"/>
      <c r="S1271" s="147"/>
      <c r="T1271" s="147"/>
      <c r="U1271" s="147"/>
      <c r="V1271" s="147"/>
      <c r="W1271" s="147"/>
      <c r="X1271" s="147"/>
      <c r="Y1271" s="147"/>
      <c r="Z1271" s="147"/>
      <c r="AA1271" s="147"/>
      <c r="AB1271" s="147"/>
      <c r="AC1271" s="147"/>
      <c r="AD1271" s="147"/>
      <c r="AE1271" s="147"/>
      <c r="AF1271" s="147"/>
      <c r="AG1271" s="147"/>
      <c r="AH1271" s="147"/>
      <c r="AI1271" s="147"/>
      <c r="AJ1271" s="147"/>
      <c r="AK1271" s="147"/>
      <c r="AL1271" s="147"/>
      <c r="AM1271" s="147"/>
      <c r="AN1271" s="147"/>
      <c r="AO1271" s="147"/>
      <c r="AP1271" s="147"/>
      <c r="AQ1271" s="147"/>
      <c r="AR1271" s="147"/>
      <c r="AS1271" s="147"/>
      <c r="AT1271" s="147"/>
      <c r="AU1271" s="147"/>
      <c r="AV1271" s="147"/>
      <c r="AW1271" s="147"/>
      <c r="AX1271" s="147"/>
      <c r="AY1271" s="147"/>
      <c r="AZ1271" s="147"/>
      <c r="BA1271" s="147"/>
      <c r="BB1271" s="147"/>
      <c r="BC1271" s="147"/>
      <c r="BD1271" s="147"/>
      <c r="BE1271" s="147"/>
      <c r="BF1271" s="147"/>
      <c r="BG1271" s="147"/>
      <c r="BH1271" s="147"/>
      <c r="BI1271" s="147"/>
      <c r="BJ1271" s="147"/>
      <c r="BK1271" s="147"/>
      <c r="BL1271" s="147"/>
      <c r="BM1271" s="147"/>
      <c r="BN1271" s="147"/>
      <c r="BO1271" s="147"/>
      <c r="BP1271" s="147"/>
      <c r="BQ1271" s="147"/>
      <c r="BR1271" s="147"/>
      <c r="BS1271" s="147"/>
      <c r="BT1271" s="147"/>
      <c r="BU1271" s="147"/>
      <c r="BV1271" s="147"/>
      <c r="BW1271" s="147"/>
      <c r="BX1271" s="147"/>
      <c r="BY1271" s="147"/>
      <c r="BZ1271" s="147"/>
      <c r="CA1271" s="147"/>
      <c r="CB1271" s="147"/>
      <c r="CC1271" s="147"/>
      <c r="CD1271" s="147"/>
      <c r="CE1271" s="147"/>
      <c r="CF1271" s="147"/>
      <c r="CG1271" s="147"/>
      <c r="CH1271" s="147"/>
      <c r="CI1271" s="147"/>
      <c r="CJ1271" s="147"/>
      <c r="CK1271" s="147"/>
    </row>
    <row r="1272" spans="1:89">
      <c r="A1272" s="147"/>
      <c r="B1272" s="147"/>
      <c r="C1272" s="147"/>
      <c r="D1272" s="147"/>
      <c r="E1272" s="147"/>
      <c r="F1272" s="147"/>
      <c r="G1272" s="147"/>
      <c r="H1272" s="147"/>
      <c r="I1272" s="147"/>
      <c r="J1272" s="147"/>
      <c r="K1272" s="147"/>
      <c r="L1272" s="147"/>
      <c r="M1272" s="147"/>
      <c r="N1272" s="147"/>
      <c r="O1272" s="158"/>
      <c r="P1272" s="147"/>
      <c r="Q1272" s="147"/>
      <c r="R1272" s="147"/>
      <c r="S1272" s="147"/>
      <c r="T1272" s="147"/>
      <c r="U1272" s="147"/>
      <c r="V1272" s="147"/>
      <c r="W1272" s="147"/>
      <c r="X1272" s="147"/>
      <c r="Y1272" s="147"/>
      <c r="Z1272" s="147"/>
      <c r="AA1272" s="147"/>
      <c r="AB1272" s="147"/>
      <c r="AC1272" s="147"/>
      <c r="AD1272" s="147"/>
      <c r="AE1272" s="147"/>
      <c r="AF1272" s="147"/>
      <c r="AG1272" s="147"/>
      <c r="AH1272" s="147"/>
      <c r="AI1272" s="147"/>
      <c r="AJ1272" s="147"/>
      <c r="AK1272" s="147"/>
      <c r="AL1272" s="147"/>
      <c r="AM1272" s="147"/>
      <c r="AN1272" s="147"/>
      <c r="AO1272" s="147"/>
      <c r="AP1272" s="147"/>
      <c r="AQ1272" s="147"/>
      <c r="AR1272" s="147"/>
      <c r="AS1272" s="147"/>
      <c r="AT1272" s="147"/>
      <c r="AU1272" s="147"/>
      <c r="AV1272" s="147"/>
      <c r="AW1272" s="147"/>
      <c r="AX1272" s="147"/>
      <c r="AY1272" s="147"/>
      <c r="AZ1272" s="147"/>
      <c r="BA1272" s="147"/>
      <c r="BB1272" s="147"/>
      <c r="BC1272" s="147"/>
      <c r="BD1272" s="147"/>
      <c r="BE1272" s="147"/>
      <c r="BF1272" s="147"/>
      <c r="BG1272" s="147"/>
      <c r="BH1272" s="147"/>
      <c r="BI1272" s="147"/>
      <c r="BJ1272" s="147"/>
      <c r="BK1272" s="147"/>
      <c r="BL1272" s="147"/>
      <c r="BM1272" s="147"/>
      <c r="BN1272" s="147"/>
      <c r="BO1272" s="147"/>
      <c r="BP1272" s="147"/>
      <c r="BQ1272" s="147"/>
      <c r="BR1272" s="147"/>
      <c r="BS1272" s="147"/>
      <c r="BT1272" s="147"/>
      <c r="BU1272" s="147"/>
      <c r="BV1272" s="147"/>
      <c r="BW1272" s="147"/>
      <c r="BX1272" s="147"/>
      <c r="BY1272" s="147"/>
      <c r="BZ1272" s="147"/>
      <c r="CA1272" s="147"/>
      <c r="CB1272" s="147"/>
      <c r="CC1272" s="147"/>
      <c r="CD1272" s="147"/>
      <c r="CE1272" s="147"/>
      <c r="CF1272" s="147"/>
      <c r="CG1272" s="147"/>
      <c r="CH1272" s="147"/>
      <c r="CI1272" s="147"/>
      <c r="CJ1272" s="147"/>
      <c r="CK1272" s="147"/>
    </row>
    <row r="1273" spans="1:89">
      <c r="A1273" s="147"/>
      <c r="B1273" s="147"/>
      <c r="C1273" s="147"/>
      <c r="D1273" s="147"/>
      <c r="E1273" s="147"/>
      <c r="F1273" s="147"/>
      <c r="G1273" s="147"/>
      <c r="H1273" s="147"/>
      <c r="I1273" s="147"/>
      <c r="J1273" s="147"/>
      <c r="K1273" s="147"/>
      <c r="L1273" s="147"/>
      <c r="M1273" s="147"/>
      <c r="N1273" s="147"/>
      <c r="O1273" s="158"/>
      <c r="P1273" s="147"/>
      <c r="Q1273" s="147"/>
      <c r="R1273" s="147"/>
      <c r="S1273" s="147"/>
      <c r="T1273" s="147"/>
      <c r="U1273" s="147"/>
      <c r="V1273" s="147"/>
      <c r="W1273" s="147"/>
      <c r="X1273" s="147"/>
      <c r="Y1273" s="147"/>
      <c r="Z1273" s="147"/>
      <c r="AA1273" s="147"/>
      <c r="AB1273" s="147"/>
      <c r="AC1273" s="147"/>
      <c r="AD1273" s="147"/>
      <c r="AE1273" s="147"/>
      <c r="AF1273" s="147"/>
      <c r="AG1273" s="147"/>
      <c r="AH1273" s="147"/>
      <c r="AI1273" s="147"/>
      <c r="AJ1273" s="147"/>
      <c r="AK1273" s="147"/>
      <c r="AL1273" s="147"/>
      <c r="AM1273" s="147"/>
      <c r="AN1273" s="147"/>
      <c r="AO1273" s="147"/>
      <c r="AP1273" s="147"/>
      <c r="AQ1273" s="147"/>
      <c r="AR1273" s="147"/>
      <c r="AS1273" s="147"/>
      <c r="AT1273" s="147"/>
      <c r="AU1273" s="147"/>
      <c r="AV1273" s="147"/>
      <c r="AW1273" s="147"/>
      <c r="AX1273" s="147"/>
      <c r="AY1273" s="147"/>
      <c r="AZ1273" s="147"/>
      <c r="BA1273" s="147"/>
      <c r="BB1273" s="147"/>
      <c r="BC1273" s="147"/>
      <c r="BD1273" s="147"/>
      <c r="BE1273" s="147"/>
      <c r="BF1273" s="147"/>
      <c r="BG1273" s="147"/>
      <c r="BH1273" s="147"/>
      <c r="BI1273" s="147"/>
      <c r="BJ1273" s="147"/>
      <c r="BK1273" s="147"/>
      <c r="BL1273" s="147"/>
      <c r="BM1273" s="147"/>
      <c r="BN1273" s="147"/>
      <c r="BO1273" s="147"/>
      <c r="BP1273" s="147"/>
      <c r="BQ1273" s="147"/>
      <c r="BR1273" s="147"/>
      <c r="BS1273" s="147"/>
      <c r="BT1273" s="147"/>
      <c r="BU1273" s="147"/>
      <c r="BV1273" s="147"/>
      <c r="BW1273" s="147"/>
      <c r="BX1273" s="147"/>
      <c r="BY1273" s="147"/>
      <c r="BZ1273" s="147"/>
      <c r="CA1273" s="147"/>
      <c r="CB1273" s="147"/>
      <c r="CC1273" s="147"/>
      <c r="CD1273" s="147"/>
      <c r="CE1273" s="147"/>
      <c r="CF1273" s="147"/>
      <c r="CG1273" s="147"/>
      <c r="CH1273" s="147"/>
      <c r="CI1273" s="147"/>
      <c r="CJ1273" s="147"/>
      <c r="CK1273" s="147"/>
    </row>
    <row r="1274" spans="1:89">
      <c r="A1274" s="147"/>
      <c r="B1274" s="147"/>
      <c r="C1274" s="147"/>
      <c r="D1274" s="147"/>
      <c r="E1274" s="147"/>
      <c r="F1274" s="147"/>
      <c r="G1274" s="147"/>
      <c r="H1274" s="147"/>
      <c r="I1274" s="147"/>
      <c r="J1274" s="147"/>
      <c r="K1274" s="147"/>
      <c r="L1274" s="147"/>
      <c r="M1274" s="147"/>
      <c r="N1274" s="147"/>
      <c r="O1274" s="158"/>
      <c r="P1274" s="147"/>
      <c r="Q1274" s="147"/>
      <c r="R1274" s="147"/>
      <c r="S1274" s="147"/>
      <c r="T1274" s="147"/>
      <c r="U1274" s="147"/>
      <c r="V1274" s="147"/>
      <c r="W1274" s="147"/>
      <c r="X1274" s="147"/>
      <c r="Y1274" s="147"/>
      <c r="Z1274" s="147"/>
      <c r="AA1274" s="147"/>
      <c r="AB1274" s="147"/>
      <c r="AC1274" s="147"/>
      <c r="AD1274" s="147"/>
      <c r="AE1274" s="147"/>
      <c r="AF1274" s="147"/>
      <c r="AG1274" s="147"/>
      <c r="AH1274" s="147"/>
      <c r="AI1274" s="147"/>
      <c r="AJ1274" s="147"/>
      <c r="AK1274" s="147"/>
      <c r="AL1274" s="147"/>
      <c r="AM1274" s="147"/>
      <c r="AN1274" s="147"/>
      <c r="AO1274" s="147"/>
      <c r="AP1274" s="147"/>
      <c r="AQ1274" s="147"/>
      <c r="AR1274" s="147"/>
      <c r="AS1274" s="147"/>
      <c r="AT1274" s="147"/>
      <c r="AU1274" s="147"/>
      <c r="AV1274" s="147"/>
      <c r="AW1274" s="147"/>
      <c r="AX1274" s="147"/>
      <c r="AY1274" s="147"/>
      <c r="AZ1274" s="147"/>
      <c r="BA1274" s="147"/>
      <c r="BB1274" s="147"/>
      <c r="BC1274" s="147"/>
      <c r="BD1274" s="147"/>
      <c r="BE1274" s="147"/>
      <c r="BF1274" s="147"/>
      <c r="BG1274" s="147"/>
      <c r="BH1274" s="147"/>
      <c r="BI1274" s="147"/>
      <c r="BJ1274" s="147"/>
      <c r="BK1274" s="147"/>
      <c r="BL1274" s="147"/>
      <c r="BM1274" s="147"/>
      <c r="BN1274" s="147"/>
      <c r="BO1274" s="147"/>
      <c r="BP1274" s="147"/>
      <c r="BQ1274" s="147"/>
      <c r="BR1274" s="147"/>
      <c r="BS1274" s="147"/>
      <c r="BT1274" s="147"/>
      <c r="BU1274" s="147"/>
      <c r="BV1274" s="147"/>
      <c r="BW1274" s="147"/>
      <c r="BX1274" s="147"/>
      <c r="BY1274" s="147"/>
      <c r="BZ1274" s="147"/>
      <c r="CA1274" s="147"/>
      <c r="CB1274" s="147"/>
      <c r="CC1274" s="147"/>
      <c r="CD1274" s="147"/>
      <c r="CE1274" s="147"/>
      <c r="CF1274" s="147"/>
      <c r="CG1274" s="147"/>
      <c r="CH1274" s="147"/>
      <c r="CI1274" s="147"/>
      <c r="CJ1274" s="147"/>
      <c r="CK1274" s="147"/>
    </row>
    <row r="1275" spans="1:89">
      <c r="A1275" s="147"/>
      <c r="B1275" s="147"/>
      <c r="C1275" s="147"/>
      <c r="D1275" s="147"/>
      <c r="E1275" s="147"/>
      <c r="F1275" s="147"/>
      <c r="G1275" s="147"/>
      <c r="H1275" s="147"/>
      <c r="I1275" s="147"/>
      <c r="J1275" s="147"/>
      <c r="K1275" s="147"/>
      <c r="L1275" s="147"/>
      <c r="M1275" s="147"/>
      <c r="N1275" s="147"/>
      <c r="O1275" s="158"/>
      <c r="P1275" s="147"/>
      <c r="Q1275" s="147"/>
      <c r="R1275" s="147"/>
      <c r="S1275" s="147"/>
      <c r="T1275" s="147"/>
      <c r="U1275" s="147"/>
      <c r="V1275" s="147"/>
      <c r="W1275" s="147"/>
      <c r="X1275" s="147"/>
      <c r="Y1275" s="147"/>
      <c r="Z1275" s="147"/>
      <c r="AA1275" s="147"/>
      <c r="AB1275" s="147"/>
      <c r="AC1275" s="147"/>
      <c r="AD1275" s="147"/>
      <c r="AE1275" s="147"/>
      <c r="AF1275" s="147"/>
      <c r="AG1275" s="147"/>
      <c r="AH1275" s="147"/>
      <c r="AI1275" s="147"/>
      <c r="AJ1275" s="147"/>
      <c r="AK1275" s="147"/>
      <c r="AL1275" s="147"/>
      <c r="AM1275" s="147"/>
      <c r="AN1275" s="147"/>
      <c r="AO1275" s="147"/>
      <c r="AP1275" s="147"/>
      <c r="AQ1275" s="147"/>
      <c r="AR1275" s="147"/>
      <c r="AS1275" s="147"/>
      <c r="AT1275" s="147"/>
      <c r="AU1275" s="147"/>
      <c r="AV1275" s="147"/>
      <c r="AW1275" s="147"/>
      <c r="AX1275" s="147"/>
      <c r="AY1275" s="147"/>
      <c r="AZ1275" s="147"/>
      <c r="BA1275" s="147"/>
      <c r="BB1275" s="147"/>
      <c r="BC1275" s="147"/>
      <c r="BD1275" s="147"/>
      <c r="BE1275" s="147"/>
      <c r="BF1275" s="147"/>
      <c r="BG1275" s="147"/>
      <c r="BH1275" s="147"/>
      <c r="BI1275" s="147"/>
      <c r="BJ1275" s="147"/>
      <c r="BK1275" s="147"/>
      <c r="BL1275" s="147"/>
      <c r="BM1275" s="147"/>
      <c r="BN1275" s="147"/>
      <c r="BO1275" s="147"/>
      <c r="BP1275" s="147"/>
      <c r="BQ1275" s="147"/>
      <c r="BR1275" s="147"/>
      <c r="BS1275" s="147"/>
      <c r="BT1275" s="147"/>
      <c r="BU1275" s="147"/>
      <c r="BV1275" s="147"/>
      <c r="BW1275" s="147"/>
      <c r="BX1275" s="147"/>
      <c r="BY1275" s="147"/>
      <c r="BZ1275" s="147"/>
      <c r="CA1275" s="147"/>
      <c r="CB1275" s="147"/>
      <c r="CC1275" s="147"/>
      <c r="CD1275" s="147"/>
      <c r="CE1275" s="147"/>
      <c r="CF1275" s="147"/>
      <c r="CG1275" s="147"/>
      <c r="CH1275" s="147"/>
      <c r="CI1275" s="147"/>
      <c r="CJ1275" s="147"/>
      <c r="CK1275" s="147"/>
    </row>
    <row r="1276" spans="1:89">
      <c r="A1276" s="147"/>
      <c r="B1276" s="147"/>
      <c r="C1276" s="147"/>
      <c r="D1276" s="147"/>
      <c r="E1276" s="147"/>
      <c r="F1276" s="147"/>
      <c r="G1276" s="147"/>
      <c r="H1276" s="147"/>
      <c r="I1276" s="147"/>
      <c r="J1276" s="147"/>
      <c r="K1276" s="147"/>
      <c r="L1276" s="147"/>
      <c r="M1276" s="147"/>
      <c r="N1276" s="147"/>
      <c r="O1276" s="158"/>
      <c r="P1276" s="147"/>
      <c r="Q1276" s="147"/>
      <c r="R1276" s="147"/>
      <c r="S1276" s="147"/>
      <c r="T1276" s="147"/>
      <c r="U1276" s="147"/>
      <c r="V1276" s="147"/>
      <c r="W1276" s="147"/>
      <c r="X1276" s="147"/>
      <c r="Y1276" s="147"/>
      <c r="Z1276" s="147"/>
      <c r="AA1276" s="147"/>
      <c r="AB1276" s="147"/>
      <c r="AC1276" s="147"/>
      <c r="AD1276" s="147"/>
      <c r="AE1276" s="147"/>
      <c r="AF1276" s="147"/>
      <c r="AG1276" s="147"/>
      <c r="AH1276" s="147"/>
      <c r="AI1276" s="147"/>
      <c r="AJ1276" s="147"/>
      <c r="AK1276" s="147"/>
      <c r="AL1276" s="147"/>
      <c r="AM1276" s="147"/>
      <c r="AN1276" s="147"/>
      <c r="AO1276" s="147"/>
      <c r="AP1276" s="147"/>
      <c r="AQ1276" s="147"/>
      <c r="AR1276" s="147"/>
      <c r="AS1276" s="147"/>
      <c r="AT1276" s="147"/>
      <c r="AU1276" s="147"/>
      <c r="AV1276" s="147"/>
      <c r="AW1276" s="147"/>
      <c r="AX1276" s="147"/>
      <c r="AY1276" s="147"/>
      <c r="AZ1276" s="147"/>
      <c r="BA1276" s="147"/>
      <c r="BB1276" s="147"/>
      <c r="BC1276" s="147"/>
      <c r="BD1276" s="147"/>
      <c r="BE1276" s="147"/>
      <c r="BF1276" s="147"/>
      <c r="BG1276" s="147"/>
      <c r="BH1276" s="147"/>
      <c r="BI1276" s="147"/>
      <c r="BJ1276" s="147"/>
      <c r="BK1276" s="147"/>
      <c r="BL1276" s="147"/>
      <c r="BM1276" s="147"/>
      <c r="BN1276" s="147"/>
      <c r="BO1276" s="147"/>
      <c r="BP1276" s="147"/>
      <c r="BQ1276" s="147"/>
      <c r="BR1276" s="147"/>
      <c r="BS1276" s="147"/>
      <c r="BT1276" s="147"/>
      <c r="BU1276" s="147"/>
      <c r="BV1276" s="147"/>
      <c r="BW1276" s="147"/>
      <c r="BX1276" s="147"/>
      <c r="BY1276" s="147"/>
      <c r="BZ1276" s="147"/>
      <c r="CA1276" s="147"/>
      <c r="CB1276" s="147"/>
      <c r="CC1276" s="147"/>
      <c r="CD1276" s="147"/>
      <c r="CE1276" s="147"/>
      <c r="CF1276" s="147"/>
      <c r="CG1276" s="147"/>
      <c r="CH1276" s="147"/>
      <c r="CI1276" s="147"/>
      <c r="CJ1276" s="147"/>
      <c r="CK1276" s="147"/>
    </row>
    <row r="1277" spans="1:89">
      <c r="A1277" s="147"/>
      <c r="B1277" s="147"/>
      <c r="C1277" s="147"/>
      <c r="D1277" s="147"/>
      <c r="E1277" s="147"/>
      <c r="F1277" s="147"/>
      <c r="G1277" s="147"/>
      <c r="H1277" s="147"/>
      <c r="I1277" s="147"/>
      <c r="J1277" s="147"/>
      <c r="K1277" s="147"/>
      <c r="L1277" s="147"/>
      <c r="M1277" s="147"/>
      <c r="N1277" s="147"/>
      <c r="O1277" s="158"/>
      <c r="P1277" s="147"/>
      <c r="Q1277" s="147"/>
      <c r="R1277" s="147"/>
      <c r="S1277" s="147"/>
      <c r="T1277" s="147"/>
      <c r="U1277" s="147"/>
      <c r="V1277" s="147"/>
      <c r="W1277" s="147"/>
      <c r="X1277" s="147"/>
      <c r="Y1277" s="147"/>
      <c r="Z1277" s="147"/>
      <c r="AA1277" s="147"/>
      <c r="AB1277" s="147"/>
      <c r="AC1277" s="147"/>
      <c r="AD1277" s="147"/>
      <c r="AE1277" s="147"/>
      <c r="AF1277" s="147"/>
      <c r="AG1277" s="147"/>
      <c r="AH1277" s="147"/>
      <c r="AI1277" s="147"/>
      <c r="AJ1277" s="147"/>
      <c r="AK1277" s="147"/>
      <c r="AL1277" s="147"/>
      <c r="AM1277" s="147"/>
      <c r="AN1277" s="147"/>
      <c r="AO1277" s="147"/>
      <c r="AP1277" s="147"/>
      <c r="AQ1277" s="147"/>
      <c r="AR1277" s="147"/>
      <c r="AS1277" s="147"/>
      <c r="AT1277" s="147"/>
      <c r="AU1277" s="147"/>
      <c r="AV1277" s="147"/>
      <c r="AW1277" s="147"/>
      <c r="AX1277" s="147"/>
      <c r="AY1277" s="147"/>
      <c r="AZ1277" s="147"/>
      <c r="BA1277" s="147"/>
      <c r="BB1277" s="147"/>
      <c r="BC1277" s="147"/>
      <c r="BD1277" s="147"/>
      <c r="BE1277" s="147"/>
      <c r="BF1277" s="147"/>
      <c r="BG1277" s="147"/>
      <c r="BH1277" s="147"/>
      <c r="BI1277" s="147"/>
      <c r="BJ1277" s="147"/>
      <c r="BK1277" s="147"/>
      <c r="BL1277" s="147"/>
      <c r="BM1277" s="147"/>
      <c r="BN1277" s="147"/>
      <c r="BO1277" s="147"/>
      <c r="BP1277" s="147"/>
      <c r="BQ1277" s="147"/>
      <c r="BR1277" s="147"/>
      <c r="BS1277" s="147"/>
      <c r="BT1277" s="147"/>
      <c r="BU1277" s="147"/>
      <c r="BV1277" s="147"/>
      <c r="BW1277" s="147"/>
      <c r="BX1277" s="147"/>
      <c r="BY1277" s="147"/>
      <c r="BZ1277" s="147"/>
      <c r="CA1277" s="147"/>
      <c r="CB1277" s="147"/>
      <c r="CC1277" s="147"/>
      <c r="CD1277" s="147"/>
      <c r="CE1277" s="147"/>
      <c r="CF1277" s="147"/>
      <c r="CG1277" s="147"/>
      <c r="CH1277" s="147"/>
      <c r="CI1277" s="147"/>
      <c r="CJ1277" s="147"/>
      <c r="CK1277" s="147"/>
    </row>
    <row r="1278" spans="1:89">
      <c r="A1278" s="147"/>
      <c r="B1278" s="147"/>
      <c r="C1278" s="147"/>
      <c r="D1278" s="147"/>
      <c r="E1278" s="147"/>
      <c r="F1278" s="147"/>
      <c r="G1278" s="147"/>
      <c r="H1278" s="147"/>
      <c r="I1278" s="147"/>
      <c r="J1278" s="147"/>
      <c r="K1278" s="147"/>
      <c r="L1278" s="147"/>
      <c r="M1278" s="147"/>
      <c r="N1278" s="147"/>
      <c r="O1278" s="158"/>
      <c r="P1278" s="147"/>
      <c r="Q1278" s="147"/>
      <c r="R1278" s="147"/>
      <c r="S1278" s="147"/>
      <c r="T1278" s="147"/>
      <c r="U1278" s="147"/>
      <c r="V1278" s="147"/>
      <c r="W1278" s="147"/>
      <c r="X1278" s="147"/>
      <c r="Y1278" s="147"/>
      <c r="Z1278" s="147"/>
      <c r="AA1278" s="147"/>
      <c r="AB1278" s="147"/>
      <c r="AC1278" s="147"/>
      <c r="AD1278" s="147"/>
      <c r="AE1278" s="147"/>
      <c r="AF1278" s="147"/>
      <c r="AG1278" s="147"/>
      <c r="AH1278" s="147"/>
      <c r="AI1278" s="147"/>
      <c r="AJ1278" s="147"/>
      <c r="AK1278" s="147"/>
      <c r="AL1278" s="147"/>
      <c r="AM1278" s="147"/>
      <c r="AN1278" s="147"/>
      <c r="AO1278" s="147"/>
      <c r="AP1278" s="147"/>
      <c r="AQ1278" s="147"/>
      <c r="AR1278" s="147"/>
      <c r="AS1278" s="147"/>
      <c r="AT1278" s="147"/>
      <c r="AU1278" s="147"/>
      <c r="AV1278" s="147"/>
      <c r="AW1278" s="147"/>
      <c r="AX1278" s="147"/>
      <c r="AY1278" s="147"/>
      <c r="AZ1278" s="147"/>
      <c r="BA1278" s="147"/>
      <c r="BB1278" s="147"/>
      <c r="BC1278" s="147"/>
      <c r="BD1278" s="147"/>
      <c r="BE1278" s="147"/>
      <c r="BF1278" s="147"/>
      <c r="BG1278" s="147"/>
      <c r="BH1278" s="147"/>
      <c r="BI1278" s="147"/>
      <c r="BJ1278" s="147"/>
      <c r="BK1278" s="147"/>
      <c r="BL1278" s="147"/>
      <c r="BM1278" s="147"/>
      <c r="BN1278" s="147"/>
      <c r="BO1278" s="147"/>
      <c r="BP1278" s="147"/>
      <c r="BQ1278" s="147"/>
      <c r="BR1278" s="147"/>
      <c r="BS1278" s="147"/>
      <c r="BT1278" s="147"/>
      <c r="BU1278" s="147"/>
      <c r="BV1278" s="147"/>
      <c r="BW1278" s="147"/>
      <c r="BX1278" s="147"/>
      <c r="BY1278" s="147"/>
      <c r="BZ1278" s="147"/>
      <c r="CA1278" s="147"/>
      <c r="CB1278" s="147"/>
      <c r="CC1278" s="147"/>
      <c r="CD1278" s="147"/>
      <c r="CE1278" s="147"/>
      <c r="CF1278" s="147"/>
      <c r="CG1278" s="147"/>
      <c r="CH1278" s="147"/>
      <c r="CI1278" s="147"/>
      <c r="CJ1278" s="147"/>
      <c r="CK1278" s="147"/>
    </row>
    <row r="1279" spans="1:89">
      <c r="A1279" s="147"/>
      <c r="B1279" s="147"/>
      <c r="C1279" s="147"/>
      <c r="D1279" s="147"/>
      <c r="E1279" s="147"/>
      <c r="F1279" s="147"/>
      <c r="G1279" s="147"/>
      <c r="H1279" s="147"/>
      <c r="I1279" s="147"/>
      <c r="J1279" s="147"/>
      <c r="K1279" s="147"/>
      <c r="L1279" s="147"/>
      <c r="M1279" s="147"/>
      <c r="N1279" s="147"/>
      <c r="O1279" s="158"/>
      <c r="P1279" s="147"/>
      <c r="Q1279" s="147"/>
      <c r="R1279" s="147"/>
      <c r="S1279" s="147"/>
      <c r="T1279" s="147"/>
      <c r="U1279" s="147"/>
      <c r="V1279" s="147"/>
      <c r="W1279" s="147"/>
      <c r="X1279" s="147"/>
      <c r="Y1279" s="147"/>
      <c r="Z1279" s="147"/>
      <c r="AA1279" s="147"/>
      <c r="AB1279" s="147"/>
      <c r="AC1279" s="147"/>
      <c r="AD1279" s="147"/>
      <c r="AE1279" s="147"/>
      <c r="AF1279" s="147"/>
      <c r="AG1279" s="147"/>
      <c r="AH1279" s="147"/>
      <c r="AI1279" s="147"/>
      <c r="AJ1279" s="147"/>
      <c r="AK1279" s="147"/>
      <c r="AL1279" s="147"/>
      <c r="AM1279" s="147"/>
      <c r="AN1279" s="147"/>
      <c r="AO1279" s="147"/>
      <c r="AP1279" s="147"/>
      <c r="AQ1279" s="147"/>
      <c r="AR1279" s="147"/>
      <c r="AS1279" s="147"/>
      <c r="AT1279" s="147"/>
      <c r="AU1279" s="147"/>
      <c r="AV1279" s="147"/>
      <c r="AW1279" s="147"/>
      <c r="AX1279" s="147"/>
      <c r="AY1279" s="147"/>
      <c r="AZ1279" s="147"/>
      <c r="BA1279" s="147"/>
      <c r="BB1279" s="147"/>
      <c r="BC1279" s="147"/>
      <c r="BD1279" s="147"/>
      <c r="BE1279" s="147"/>
      <c r="BF1279" s="147"/>
      <c r="BG1279" s="147"/>
      <c r="BH1279" s="147"/>
      <c r="BI1279" s="147"/>
      <c r="BJ1279" s="147"/>
      <c r="BK1279" s="147"/>
      <c r="BL1279" s="147"/>
      <c r="BM1279" s="147"/>
      <c r="BN1279" s="147"/>
      <c r="BO1279" s="147"/>
      <c r="BP1279" s="147"/>
      <c r="BQ1279" s="147"/>
      <c r="BR1279" s="147"/>
      <c r="BS1279" s="147"/>
      <c r="BT1279" s="147"/>
      <c r="BU1279" s="147"/>
      <c r="BV1279" s="147"/>
      <c r="BW1279" s="147"/>
      <c r="BX1279" s="147"/>
      <c r="BY1279" s="147"/>
      <c r="BZ1279" s="147"/>
      <c r="CA1279" s="147"/>
      <c r="CB1279" s="147"/>
      <c r="CC1279" s="147"/>
      <c r="CD1279" s="147"/>
      <c r="CE1279" s="147"/>
      <c r="CF1279" s="147"/>
      <c r="CG1279" s="147"/>
      <c r="CH1279" s="147"/>
      <c r="CI1279" s="147"/>
      <c r="CJ1279" s="147"/>
      <c r="CK1279" s="147"/>
    </row>
    <row r="1280" spans="1:89">
      <c r="A1280" s="147"/>
      <c r="B1280" s="147"/>
      <c r="C1280" s="147"/>
      <c r="D1280" s="147"/>
      <c r="E1280" s="147"/>
      <c r="F1280" s="147"/>
      <c r="G1280" s="147"/>
      <c r="H1280" s="147"/>
      <c r="I1280" s="147"/>
      <c r="J1280" s="147"/>
      <c r="K1280" s="147"/>
      <c r="L1280" s="147"/>
      <c r="M1280" s="147"/>
      <c r="N1280" s="147"/>
      <c r="O1280" s="158"/>
      <c r="P1280" s="147"/>
      <c r="Q1280" s="147"/>
      <c r="R1280" s="147"/>
      <c r="S1280" s="147"/>
      <c r="T1280" s="147"/>
      <c r="U1280" s="147"/>
      <c r="V1280" s="147"/>
      <c r="W1280" s="147"/>
      <c r="X1280" s="147"/>
      <c r="Y1280" s="147"/>
      <c r="Z1280" s="147"/>
      <c r="AA1280" s="147"/>
      <c r="AB1280" s="147"/>
      <c r="AC1280" s="147"/>
      <c r="AD1280" s="147"/>
      <c r="AE1280" s="147"/>
      <c r="AF1280" s="147"/>
      <c r="AG1280" s="147"/>
      <c r="AH1280" s="147"/>
      <c r="AI1280" s="147"/>
      <c r="AJ1280" s="147"/>
      <c r="AK1280" s="147"/>
      <c r="AL1280" s="147"/>
      <c r="AM1280" s="147"/>
      <c r="AN1280" s="147"/>
      <c r="AO1280" s="147"/>
      <c r="AP1280" s="147"/>
      <c r="AQ1280" s="147"/>
      <c r="AR1280" s="147"/>
      <c r="AS1280" s="147"/>
      <c r="AT1280" s="147"/>
      <c r="AU1280" s="147"/>
      <c r="AV1280" s="147"/>
      <c r="AW1280" s="147"/>
      <c r="AX1280" s="147"/>
      <c r="AY1280" s="147"/>
      <c r="AZ1280" s="147"/>
      <c r="BA1280" s="147"/>
      <c r="BB1280" s="147"/>
      <c r="BC1280" s="147"/>
      <c r="BD1280" s="147"/>
      <c r="BE1280" s="147"/>
      <c r="BF1280" s="147"/>
      <c r="BG1280" s="147"/>
      <c r="BH1280" s="147"/>
      <c r="BI1280" s="147"/>
      <c r="BJ1280" s="147"/>
      <c r="BK1280" s="147"/>
      <c r="BL1280" s="147"/>
      <c r="BM1280" s="147"/>
      <c r="BN1280" s="147"/>
      <c r="BO1280" s="147"/>
      <c r="BP1280" s="147"/>
      <c r="BQ1280" s="147"/>
      <c r="BR1280" s="147"/>
      <c r="BS1280" s="147"/>
      <c r="BT1280" s="147"/>
      <c r="BU1280" s="147"/>
      <c r="BV1280" s="147"/>
      <c r="BW1280" s="147"/>
      <c r="BX1280" s="147"/>
      <c r="BY1280" s="147"/>
      <c r="BZ1280" s="147"/>
      <c r="CA1280" s="147"/>
      <c r="CB1280" s="147"/>
      <c r="CC1280" s="147"/>
      <c r="CD1280" s="147"/>
      <c r="CE1280" s="147"/>
      <c r="CF1280" s="147"/>
      <c r="CG1280" s="147"/>
      <c r="CH1280" s="147"/>
      <c r="CI1280" s="147"/>
      <c r="CJ1280" s="147"/>
      <c r="CK1280" s="147"/>
    </row>
    <row r="1281" spans="1:89">
      <c r="A1281" s="147"/>
      <c r="B1281" s="147"/>
      <c r="C1281" s="147"/>
      <c r="D1281" s="147"/>
      <c r="E1281" s="147"/>
      <c r="F1281" s="147"/>
      <c r="G1281" s="147"/>
      <c r="H1281" s="147"/>
      <c r="I1281" s="147"/>
      <c r="J1281" s="147"/>
      <c r="K1281" s="147"/>
      <c r="L1281" s="147"/>
      <c r="M1281" s="147"/>
      <c r="N1281" s="147"/>
      <c r="O1281" s="158"/>
      <c r="P1281" s="147"/>
      <c r="Q1281" s="147"/>
      <c r="R1281" s="147"/>
      <c r="S1281" s="147"/>
      <c r="T1281" s="147"/>
      <c r="U1281" s="147"/>
      <c r="V1281" s="147"/>
      <c r="W1281" s="147"/>
      <c r="X1281" s="147"/>
      <c r="Y1281" s="147"/>
      <c r="Z1281" s="147"/>
      <c r="AA1281" s="147"/>
      <c r="AB1281" s="147"/>
      <c r="AC1281" s="147"/>
      <c r="AD1281" s="147"/>
      <c r="AE1281" s="147"/>
      <c r="AF1281" s="147"/>
      <c r="AG1281" s="147"/>
      <c r="AH1281" s="147"/>
      <c r="AI1281" s="147"/>
      <c r="AJ1281" s="147"/>
      <c r="AK1281" s="147"/>
      <c r="AL1281" s="147"/>
      <c r="AM1281" s="147"/>
      <c r="AN1281" s="147"/>
      <c r="AO1281" s="147"/>
      <c r="AP1281" s="147"/>
      <c r="AQ1281" s="147"/>
      <c r="AR1281" s="147"/>
      <c r="AS1281" s="147"/>
      <c r="AT1281" s="147"/>
      <c r="AU1281" s="147"/>
      <c r="AV1281" s="147"/>
      <c r="AW1281" s="147"/>
      <c r="AX1281" s="147"/>
      <c r="AY1281" s="147"/>
      <c r="AZ1281" s="147"/>
      <c r="BA1281" s="147"/>
      <c r="BB1281" s="147"/>
      <c r="BC1281" s="147"/>
      <c r="BD1281" s="147"/>
      <c r="BE1281" s="147"/>
      <c r="BF1281" s="147"/>
      <c r="BG1281" s="147"/>
      <c r="BH1281" s="147"/>
      <c r="BI1281" s="147"/>
      <c r="BJ1281" s="147"/>
      <c r="BK1281" s="147"/>
      <c r="BL1281" s="147"/>
      <c r="BM1281" s="147"/>
      <c r="BN1281" s="147"/>
      <c r="BO1281" s="147"/>
      <c r="BP1281" s="147"/>
      <c r="BQ1281" s="147"/>
      <c r="BR1281" s="147"/>
      <c r="BS1281" s="147"/>
      <c r="BT1281" s="147"/>
      <c r="BU1281" s="147"/>
      <c r="BV1281" s="147"/>
      <c r="BW1281" s="147"/>
      <c r="BX1281" s="147"/>
      <c r="BY1281" s="147"/>
      <c r="BZ1281" s="147"/>
      <c r="CA1281" s="147"/>
      <c r="CB1281" s="147"/>
      <c r="CC1281" s="147"/>
      <c r="CD1281" s="147"/>
      <c r="CE1281" s="147"/>
      <c r="CF1281" s="147"/>
      <c r="CG1281" s="147"/>
      <c r="CH1281" s="147"/>
      <c r="CI1281" s="147"/>
      <c r="CJ1281" s="147"/>
      <c r="CK1281" s="147"/>
    </row>
    <row r="1282" spans="1:89">
      <c r="A1282" s="147"/>
      <c r="B1282" s="147"/>
      <c r="C1282" s="147"/>
      <c r="D1282" s="147"/>
      <c r="E1282" s="147"/>
      <c r="F1282" s="147"/>
      <c r="G1282" s="147"/>
      <c r="H1282" s="147"/>
      <c r="I1282" s="147"/>
      <c r="J1282" s="147"/>
      <c r="K1282" s="147"/>
      <c r="L1282" s="147"/>
      <c r="M1282" s="147"/>
      <c r="N1282" s="147"/>
      <c r="O1282" s="158"/>
      <c r="P1282" s="147"/>
      <c r="Q1282" s="147"/>
      <c r="R1282" s="147"/>
      <c r="S1282" s="147"/>
      <c r="T1282" s="147"/>
      <c r="U1282" s="147"/>
      <c r="V1282" s="147"/>
      <c r="W1282" s="147"/>
      <c r="X1282" s="147"/>
      <c r="Y1282" s="147"/>
      <c r="Z1282" s="147"/>
      <c r="AA1282" s="147"/>
      <c r="AB1282" s="147"/>
      <c r="AC1282" s="147"/>
      <c r="AD1282" s="147"/>
      <c r="AE1282" s="147"/>
      <c r="AF1282" s="147"/>
      <c r="AG1282" s="147"/>
      <c r="AH1282" s="147"/>
      <c r="AI1282" s="147"/>
      <c r="AJ1282" s="147"/>
      <c r="AK1282" s="147"/>
      <c r="AL1282" s="147"/>
      <c r="AM1282" s="147"/>
      <c r="AN1282" s="147"/>
      <c r="AO1282" s="147"/>
      <c r="AP1282" s="147"/>
      <c r="AQ1282" s="147"/>
      <c r="AR1282" s="147"/>
      <c r="AS1282" s="147"/>
      <c r="AT1282" s="147"/>
      <c r="AU1282" s="147"/>
      <c r="AV1282" s="147"/>
      <c r="AW1282" s="147"/>
      <c r="AX1282" s="147"/>
      <c r="AY1282" s="147"/>
      <c r="AZ1282" s="147"/>
      <c r="BA1282" s="147"/>
      <c r="BB1282" s="147"/>
      <c r="BC1282" s="147"/>
      <c r="BD1282" s="147"/>
      <c r="BE1282" s="147"/>
      <c r="BF1282" s="147"/>
      <c r="BG1282" s="147"/>
      <c r="BH1282" s="147"/>
      <c r="BI1282" s="147"/>
      <c r="BJ1282" s="147"/>
      <c r="BK1282" s="147"/>
      <c r="BL1282" s="147"/>
      <c r="BM1282" s="147"/>
      <c r="BN1282" s="147"/>
      <c r="BO1282" s="147"/>
      <c r="BP1282" s="147"/>
      <c r="BQ1282" s="147"/>
      <c r="BR1282" s="147"/>
      <c r="BS1282" s="147"/>
      <c r="BT1282" s="147"/>
      <c r="BU1282" s="147"/>
      <c r="BV1282" s="147"/>
      <c r="BW1282" s="147"/>
      <c r="BX1282" s="147"/>
      <c r="BY1282" s="147"/>
      <c r="BZ1282" s="147"/>
      <c r="CA1282" s="147"/>
      <c r="CB1282" s="147"/>
      <c r="CC1282" s="147"/>
      <c r="CD1282" s="147"/>
      <c r="CE1282" s="147"/>
      <c r="CF1282" s="147"/>
      <c r="CG1282" s="147"/>
      <c r="CH1282" s="147"/>
      <c r="CI1282" s="147"/>
      <c r="CJ1282" s="147"/>
      <c r="CK1282" s="147"/>
    </row>
    <row r="1283" spans="1:89">
      <c r="A1283" s="147"/>
      <c r="B1283" s="147"/>
      <c r="C1283" s="147"/>
      <c r="D1283" s="147"/>
      <c r="E1283" s="147"/>
      <c r="F1283" s="147"/>
      <c r="G1283" s="147"/>
      <c r="H1283" s="147"/>
      <c r="I1283" s="147"/>
      <c r="J1283" s="147"/>
      <c r="K1283" s="147"/>
      <c r="L1283" s="147"/>
      <c r="M1283" s="147"/>
      <c r="N1283" s="147"/>
      <c r="O1283" s="158"/>
      <c r="P1283" s="147"/>
      <c r="Q1283" s="147"/>
      <c r="R1283" s="147"/>
      <c r="S1283" s="147"/>
      <c r="T1283" s="147"/>
      <c r="U1283" s="147"/>
      <c r="V1283" s="147"/>
      <c r="W1283" s="147"/>
      <c r="X1283" s="147"/>
      <c r="Y1283" s="147"/>
      <c r="Z1283" s="147"/>
      <c r="AA1283" s="147"/>
      <c r="AB1283" s="147"/>
      <c r="AC1283" s="147"/>
      <c r="AD1283" s="147"/>
      <c r="AE1283" s="147"/>
      <c r="AF1283" s="147"/>
      <c r="AG1283" s="147"/>
      <c r="AH1283" s="147"/>
      <c r="AI1283" s="147"/>
      <c r="AJ1283" s="147"/>
      <c r="AK1283" s="147"/>
      <c r="AL1283" s="147"/>
      <c r="AM1283" s="147"/>
      <c r="AN1283" s="147"/>
      <c r="AO1283" s="147"/>
      <c r="AP1283" s="147"/>
      <c r="AQ1283" s="147"/>
      <c r="AR1283" s="147"/>
      <c r="AS1283" s="147"/>
      <c r="AT1283" s="147"/>
      <c r="AU1283" s="147"/>
      <c r="AV1283" s="147"/>
      <c r="AW1283" s="147"/>
      <c r="AX1283" s="147"/>
      <c r="AY1283" s="147"/>
      <c r="AZ1283" s="147"/>
      <c r="BA1283" s="147"/>
      <c r="BB1283" s="147"/>
      <c r="BC1283" s="147"/>
      <c r="BD1283" s="147"/>
      <c r="BE1283" s="147"/>
      <c r="BF1283" s="147"/>
      <c r="BG1283" s="147"/>
      <c r="BH1283" s="147"/>
      <c r="BI1283" s="147"/>
      <c r="BJ1283" s="147"/>
      <c r="BK1283" s="147"/>
      <c r="BL1283" s="147"/>
      <c r="BM1283" s="147"/>
      <c r="BN1283" s="147"/>
      <c r="BO1283" s="147"/>
      <c r="BP1283" s="147"/>
      <c r="BQ1283" s="147"/>
      <c r="BR1283" s="147"/>
      <c r="BS1283" s="147"/>
      <c r="BT1283" s="147"/>
      <c r="BU1283" s="147"/>
      <c r="BV1283" s="147"/>
      <c r="BW1283" s="147"/>
      <c r="BX1283" s="147"/>
      <c r="BY1283" s="147"/>
      <c r="BZ1283" s="147"/>
      <c r="CA1283" s="147"/>
      <c r="CB1283" s="147"/>
      <c r="CC1283" s="147"/>
      <c r="CD1283" s="147"/>
      <c r="CE1283" s="147"/>
      <c r="CF1283" s="147"/>
      <c r="CG1283" s="147"/>
      <c r="CH1283" s="147"/>
      <c r="CI1283" s="147"/>
      <c r="CJ1283" s="147"/>
      <c r="CK1283" s="147"/>
    </row>
    <row r="1284" spans="1:89">
      <c r="A1284" s="147"/>
      <c r="B1284" s="147"/>
      <c r="C1284" s="147"/>
      <c r="D1284" s="147"/>
      <c r="E1284" s="147"/>
      <c r="F1284" s="147"/>
      <c r="G1284" s="147"/>
      <c r="H1284" s="147"/>
      <c r="I1284" s="147"/>
      <c r="J1284" s="147"/>
      <c r="K1284" s="147"/>
      <c r="L1284" s="147"/>
      <c r="M1284" s="147"/>
      <c r="N1284" s="147"/>
      <c r="O1284" s="158"/>
      <c r="P1284" s="147"/>
      <c r="Q1284" s="147"/>
      <c r="R1284" s="147"/>
      <c r="S1284" s="147"/>
      <c r="T1284" s="147"/>
      <c r="U1284" s="147"/>
      <c r="V1284" s="147"/>
      <c r="W1284" s="147"/>
      <c r="X1284" s="147"/>
      <c r="Y1284" s="147"/>
      <c r="Z1284" s="147"/>
      <c r="AA1284" s="147"/>
      <c r="AB1284" s="147"/>
      <c r="AC1284" s="147"/>
      <c r="AD1284" s="147"/>
      <c r="AE1284" s="147"/>
      <c r="AF1284" s="147"/>
      <c r="AG1284" s="147"/>
      <c r="AH1284" s="147"/>
      <c r="AI1284" s="147"/>
      <c r="AJ1284" s="147"/>
      <c r="AK1284" s="147"/>
      <c r="AL1284" s="147"/>
      <c r="AM1284" s="147"/>
      <c r="AN1284" s="147"/>
      <c r="AO1284" s="147"/>
      <c r="AP1284" s="147"/>
      <c r="AQ1284" s="147"/>
      <c r="AR1284" s="147"/>
      <c r="AS1284" s="147"/>
      <c r="AT1284" s="147"/>
      <c r="AU1284" s="147"/>
      <c r="AV1284" s="147"/>
      <c r="AW1284" s="147"/>
      <c r="AX1284" s="147"/>
      <c r="AY1284" s="147"/>
      <c r="AZ1284" s="147"/>
      <c r="BA1284" s="147"/>
      <c r="BB1284" s="147"/>
      <c r="BC1284" s="147"/>
      <c r="BD1284" s="147"/>
      <c r="BE1284" s="147"/>
      <c r="BF1284" s="147"/>
      <c r="BG1284" s="147"/>
      <c r="BH1284" s="147"/>
      <c r="BI1284" s="147"/>
      <c r="BJ1284" s="147"/>
      <c r="BK1284" s="147"/>
      <c r="BL1284" s="147"/>
      <c r="BM1284" s="147"/>
      <c r="BN1284" s="147"/>
      <c r="BO1284" s="147"/>
      <c r="BP1284" s="147"/>
      <c r="BQ1284" s="147"/>
      <c r="BR1284" s="147"/>
      <c r="BS1284" s="147"/>
      <c r="BT1284" s="147"/>
      <c r="BU1284" s="147"/>
      <c r="BV1284" s="147"/>
      <c r="BW1284" s="147"/>
      <c r="BX1284" s="147"/>
      <c r="BY1284" s="147"/>
      <c r="BZ1284" s="147"/>
      <c r="CA1284" s="147"/>
      <c r="CB1284" s="147"/>
      <c r="CC1284" s="147"/>
      <c r="CD1284" s="147"/>
      <c r="CE1284" s="147"/>
      <c r="CF1284" s="147"/>
      <c r="CG1284" s="147"/>
      <c r="CH1284" s="147"/>
      <c r="CI1284" s="147"/>
      <c r="CJ1284" s="147"/>
      <c r="CK1284" s="147"/>
    </row>
    <row r="1285" spans="1:89">
      <c r="A1285" s="147"/>
      <c r="B1285" s="147"/>
      <c r="C1285" s="147"/>
      <c r="D1285" s="147"/>
      <c r="E1285" s="147"/>
      <c r="F1285" s="147"/>
      <c r="G1285" s="147"/>
      <c r="H1285" s="147"/>
      <c r="I1285" s="147"/>
      <c r="J1285" s="147"/>
      <c r="K1285" s="147"/>
      <c r="L1285" s="147"/>
      <c r="M1285" s="147"/>
      <c r="N1285" s="147"/>
      <c r="O1285" s="158"/>
      <c r="P1285" s="147"/>
      <c r="Q1285" s="147"/>
      <c r="R1285" s="147"/>
      <c r="S1285" s="147"/>
      <c r="T1285" s="147"/>
      <c r="U1285" s="147"/>
      <c r="V1285" s="147"/>
      <c r="W1285" s="147"/>
      <c r="X1285" s="147"/>
      <c r="Y1285" s="147"/>
      <c r="Z1285" s="147"/>
      <c r="AA1285" s="147"/>
      <c r="AB1285" s="147"/>
      <c r="AC1285" s="147"/>
      <c r="AD1285" s="147"/>
      <c r="AE1285" s="147"/>
      <c r="AF1285" s="147"/>
      <c r="AG1285" s="147"/>
      <c r="AH1285" s="147"/>
      <c r="AI1285" s="147"/>
      <c r="AJ1285" s="147"/>
      <c r="AK1285" s="147"/>
      <c r="AL1285" s="147"/>
      <c r="AM1285" s="147"/>
      <c r="AN1285" s="147"/>
      <c r="AO1285" s="147"/>
      <c r="AP1285" s="147"/>
      <c r="AQ1285" s="147"/>
      <c r="AR1285" s="147"/>
      <c r="AS1285" s="147"/>
      <c r="AT1285" s="147"/>
      <c r="AU1285" s="147"/>
      <c r="AV1285" s="147"/>
      <c r="AW1285" s="147"/>
      <c r="AX1285" s="147"/>
      <c r="AY1285" s="147"/>
      <c r="AZ1285" s="147"/>
      <c r="BA1285" s="147"/>
      <c r="BB1285" s="147"/>
      <c r="BC1285" s="147"/>
      <c r="BD1285" s="147"/>
      <c r="BE1285" s="147"/>
      <c r="BF1285" s="147"/>
      <c r="BG1285" s="147"/>
      <c r="BH1285" s="147"/>
      <c r="BI1285" s="147"/>
      <c r="BJ1285" s="147"/>
      <c r="BK1285" s="147"/>
      <c r="BL1285" s="147"/>
      <c r="BM1285" s="147"/>
      <c r="BN1285" s="147"/>
      <c r="BO1285" s="147"/>
      <c r="BP1285" s="147"/>
      <c r="BQ1285" s="147"/>
      <c r="BR1285" s="147"/>
      <c r="BS1285" s="147"/>
      <c r="BT1285" s="147"/>
      <c r="BU1285" s="147"/>
      <c r="BV1285" s="147"/>
      <c r="BW1285" s="147"/>
      <c r="BX1285" s="147"/>
      <c r="BY1285" s="147"/>
      <c r="BZ1285" s="147"/>
      <c r="CA1285" s="147"/>
      <c r="CB1285" s="147"/>
      <c r="CC1285" s="147"/>
      <c r="CD1285" s="147"/>
      <c r="CE1285" s="147"/>
      <c r="CF1285" s="147"/>
      <c r="CG1285" s="147"/>
      <c r="CH1285" s="147"/>
      <c r="CI1285" s="147"/>
      <c r="CJ1285" s="147"/>
      <c r="CK1285" s="147"/>
    </row>
    <row r="1286" spans="1:89">
      <c r="A1286" s="147"/>
      <c r="B1286" s="147"/>
      <c r="C1286" s="147"/>
      <c r="D1286" s="147"/>
      <c r="E1286" s="147"/>
      <c r="F1286" s="147"/>
      <c r="G1286" s="147"/>
      <c r="H1286" s="147"/>
      <c r="I1286" s="147"/>
      <c r="J1286" s="147"/>
      <c r="K1286" s="147"/>
      <c r="L1286" s="147"/>
      <c r="M1286" s="147"/>
      <c r="N1286" s="147"/>
      <c r="O1286" s="158"/>
      <c r="P1286" s="147"/>
      <c r="Q1286" s="147"/>
      <c r="R1286" s="147"/>
      <c r="S1286" s="147"/>
      <c r="T1286" s="147"/>
      <c r="U1286" s="147"/>
      <c r="V1286" s="147"/>
      <c r="W1286" s="147"/>
      <c r="X1286" s="147"/>
      <c r="Y1286" s="147"/>
      <c r="Z1286" s="147"/>
      <c r="AA1286" s="147"/>
      <c r="AB1286" s="147"/>
      <c r="AC1286" s="147"/>
      <c r="AD1286" s="147"/>
      <c r="AE1286" s="147"/>
      <c r="AF1286" s="147"/>
      <c r="AG1286" s="147"/>
      <c r="AH1286" s="147"/>
      <c r="AI1286" s="147"/>
      <c r="AJ1286" s="147"/>
      <c r="AK1286" s="147"/>
      <c r="AL1286" s="147"/>
      <c r="AM1286" s="147"/>
      <c r="AN1286" s="147"/>
      <c r="AO1286" s="147"/>
      <c r="AP1286" s="147"/>
      <c r="AQ1286" s="147"/>
      <c r="AR1286" s="147"/>
      <c r="AS1286" s="147"/>
      <c r="AT1286" s="147"/>
      <c r="AU1286" s="147"/>
      <c r="AV1286" s="147"/>
      <c r="AW1286" s="147"/>
      <c r="AX1286" s="147"/>
      <c r="AY1286" s="147"/>
      <c r="AZ1286" s="147"/>
      <c r="BA1286" s="147"/>
      <c r="BB1286" s="147"/>
      <c r="BC1286" s="147"/>
      <c r="BD1286" s="147"/>
      <c r="BE1286" s="147"/>
      <c r="BF1286" s="147"/>
      <c r="BG1286" s="147"/>
      <c r="BH1286" s="147"/>
      <c r="BI1286" s="147"/>
      <c r="BJ1286" s="147"/>
      <c r="BK1286" s="147"/>
      <c r="BL1286" s="147"/>
      <c r="BM1286" s="147"/>
      <c r="BN1286" s="147"/>
      <c r="BO1286" s="147"/>
      <c r="BP1286" s="147"/>
      <c r="BQ1286" s="147"/>
      <c r="BR1286" s="147"/>
      <c r="BS1286" s="147"/>
      <c r="BT1286" s="147"/>
      <c r="BU1286" s="147"/>
      <c r="BV1286" s="147"/>
      <c r="BW1286" s="147"/>
      <c r="BX1286" s="147"/>
      <c r="BY1286" s="147"/>
      <c r="BZ1286" s="147"/>
      <c r="CA1286" s="147"/>
      <c r="CB1286" s="147"/>
      <c r="CC1286" s="147"/>
      <c r="CD1286" s="147"/>
      <c r="CE1286" s="147"/>
      <c r="CF1286" s="147"/>
      <c r="CG1286" s="147"/>
      <c r="CH1286" s="147"/>
      <c r="CI1286" s="147"/>
      <c r="CJ1286" s="147"/>
      <c r="CK1286" s="147"/>
    </row>
    <row r="1287" spans="1:89">
      <c r="A1287" s="147"/>
      <c r="B1287" s="147"/>
      <c r="C1287" s="147"/>
      <c r="D1287" s="147"/>
      <c r="E1287" s="147"/>
      <c r="F1287" s="147"/>
      <c r="G1287" s="147"/>
      <c r="H1287" s="147"/>
      <c r="I1287" s="147"/>
      <c r="J1287" s="147"/>
      <c r="K1287" s="147"/>
      <c r="L1287" s="147"/>
      <c r="M1287" s="147"/>
      <c r="N1287" s="147"/>
      <c r="O1287" s="158"/>
      <c r="P1287" s="147"/>
      <c r="Q1287" s="147"/>
      <c r="R1287" s="147"/>
      <c r="S1287" s="147"/>
      <c r="T1287" s="147"/>
      <c r="U1287" s="147"/>
      <c r="V1287" s="147"/>
      <c r="W1287" s="147"/>
      <c r="X1287" s="147"/>
      <c r="Y1287" s="147"/>
      <c r="Z1287" s="147"/>
      <c r="AA1287" s="147"/>
      <c r="AB1287" s="147"/>
      <c r="AC1287" s="147"/>
      <c r="AD1287" s="147"/>
      <c r="AE1287" s="147"/>
      <c r="AF1287" s="147"/>
      <c r="AG1287" s="147"/>
      <c r="AH1287" s="147"/>
      <c r="AI1287" s="147"/>
      <c r="AJ1287" s="147"/>
      <c r="AK1287" s="147"/>
      <c r="AL1287" s="147"/>
      <c r="AM1287" s="147"/>
      <c r="AN1287" s="147"/>
      <c r="AO1287" s="147"/>
      <c r="AP1287" s="147"/>
      <c r="AQ1287" s="147"/>
      <c r="AR1287" s="147"/>
      <c r="AS1287" s="147"/>
      <c r="AT1287" s="147"/>
      <c r="AU1287" s="147"/>
      <c r="AV1287" s="147"/>
      <c r="AW1287" s="147"/>
      <c r="AX1287" s="147"/>
      <c r="AY1287" s="147"/>
      <c r="AZ1287" s="147"/>
      <c r="BA1287" s="147"/>
      <c r="BB1287" s="147"/>
      <c r="BC1287" s="147"/>
      <c r="BD1287" s="147"/>
      <c r="BE1287" s="147"/>
      <c r="BF1287" s="147"/>
      <c r="BG1287" s="147"/>
      <c r="BH1287" s="147"/>
      <c r="BI1287" s="147"/>
      <c r="BJ1287" s="147"/>
      <c r="BK1287" s="147"/>
      <c r="BL1287" s="147"/>
      <c r="BM1287" s="147"/>
      <c r="BN1287" s="147"/>
      <c r="BO1287" s="147"/>
      <c r="BP1287" s="147"/>
      <c r="BQ1287" s="147"/>
      <c r="BR1287" s="147"/>
      <c r="BS1287" s="147"/>
      <c r="BT1287" s="147"/>
      <c r="BU1287" s="147"/>
      <c r="BV1287" s="147"/>
      <c r="BW1287" s="147"/>
      <c r="BX1287" s="147"/>
      <c r="BY1287" s="147"/>
      <c r="BZ1287" s="147"/>
      <c r="CA1287" s="147"/>
      <c r="CB1287" s="147"/>
      <c r="CC1287" s="147"/>
      <c r="CD1287" s="147"/>
      <c r="CE1287" s="147"/>
      <c r="CF1287" s="147"/>
      <c r="CG1287" s="147"/>
      <c r="CH1287" s="147"/>
      <c r="CI1287" s="147"/>
      <c r="CJ1287" s="147"/>
      <c r="CK1287" s="147"/>
    </row>
    <row r="1288" spans="1:89">
      <c r="A1288" s="147"/>
      <c r="B1288" s="147"/>
      <c r="C1288" s="147"/>
      <c r="D1288" s="147"/>
      <c r="E1288" s="147"/>
      <c r="F1288" s="147"/>
      <c r="G1288" s="147"/>
      <c r="H1288" s="147"/>
      <c r="I1288" s="147"/>
      <c r="J1288" s="147"/>
      <c r="K1288" s="147"/>
      <c r="L1288" s="147"/>
      <c r="M1288" s="147"/>
      <c r="N1288" s="147"/>
      <c r="O1288" s="158"/>
      <c r="P1288" s="147"/>
      <c r="Q1288" s="147"/>
      <c r="R1288" s="147"/>
      <c r="S1288" s="147"/>
      <c r="T1288" s="147"/>
      <c r="U1288" s="147"/>
      <c r="V1288" s="147"/>
      <c r="W1288" s="147"/>
      <c r="X1288" s="147"/>
      <c r="Y1288" s="147"/>
      <c r="Z1288" s="147"/>
      <c r="AA1288" s="147"/>
      <c r="AB1288" s="147"/>
      <c r="AC1288" s="147"/>
      <c r="AD1288" s="147"/>
      <c r="AE1288" s="147"/>
      <c r="AF1288" s="147"/>
      <c r="AG1288" s="147"/>
      <c r="AH1288" s="147"/>
      <c r="AI1288" s="147"/>
      <c r="AJ1288" s="147"/>
      <c r="AK1288" s="147"/>
      <c r="AL1288" s="147"/>
      <c r="AM1288" s="147"/>
      <c r="AN1288" s="147"/>
      <c r="AO1288" s="147"/>
      <c r="AP1288" s="147"/>
      <c r="AQ1288" s="147"/>
      <c r="AR1288" s="147"/>
      <c r="AS1288" s="147"/>
      <c r="AT1288" s="147"/>
      <c r="AU1288" s="147"/>
      <c r="AV1288" s="147"/>
      <c r="AW1288" s="147"/>
      <c r="AX1288" s="147"/>
      <c r="AY1288" s="147"/>
      <c r="AZ1288" s="147"/>
      <c r="BA1288" s="147"/>
      <c r="BB1288" s="147"/>
      <c r="BC1288" s="147"/>
      <c r="BD1288" s="147"/>
      <c r="BE1288" s="147"/>
      <c r="BF1288" s="147"/>
      <c r="BG1288" s="147"/>
      <c r="BH1288" s="147"/>
      <c r="BI1288" s="147"/>
      <c r="BJ1288" s="147"/>
      <c r="BK1288" s="147"/>
      <c r="BL1288" s="147"/>
      <c r="BM1288" s="147"/>
      <c r="BN1288" s="147"/>
      <c r="BO1288" s="147"/>
      <c r="BP1288" s="147"/>
      <c r="BQ1288" s="147"/>
      <c r="BR1288" s="147"/>
      <c r="BS1288" s="147"/>
      <c r="BT1288" s="147"/>
      <c r="BU1288" s="147"/>
      <c r="BV1288" s="147"/>
      <c r="BW1288" s="147"/>
      <c r="BX1288" s="147"/>
      <c r="BY1288" s="147"/>
      <c r="BZ1288" s="147"/>
      <c r="CA1288" s="147"/>
      <c r="CB1288" s="147"/>
      <c r="CC1288" s="147"/>
      <c r="CD1288" s="147"/>
      <c r="CE1288" s="147"/>
      <c r="CF1288" s="147"/>
      <c r="CG1288" s="147"/>
      <c r="CH1288" s="147"/>
      <c r="CI1288" s="147"/>
      <c r="CJ1288" s="147"/>
      <c r="CK1288" s="147"/>
    </row>
    <row r="1289" spans="1:89">
      <c r="A1289" s="147"/>
      <c r="B1289" s="147"/>
      <c r="C1289" s="147"/>
      <c r="D1289" s="147"/>
      <c r="E1289" s="147"/>
      <c r="F1289" s="147"/>
      <c r="G1289" s="147"/>
      <c r="H1289" s="147"/>
      <c r="I1289" s="147"/>
      <c r="J1289" s="147"/>
      <c r="K1289" s="147"/>
      <c r="L1289" s="147"/>
      <c r="M1289" s="147"/>
      <c r="N1289" s="147"/>
      <c r="O1289" s="158"/>
      <c r="P1289" s="147"/>
      <c r="Q1289" s="147"/>
      <c r="R1289" s="147"/>
      <c r="S1289" s="147"/>
      <c r="T1289" s="147"/>
      <c r="U1289" s="147"/>
      <c r="V1289" s="147"/>
      <c r="W1289" s="147"/>
      <c r="X1289" s="147"/>
      <c r="Y1289" s="147"/>
      <c r="Z1289" s="147"/>
      <c r="AA1289" s="147"/>
      <c r="AB1289" s="147"/>
      <c r="AC1289" s="147"/>
      <c r="AD1289" s="147"/>
      <c r="AE1289" s="147"/>
      <c r="AF1289" s="147"/>
      <c r="AG1289" s="147"/>
      <c r="AH1289" s="147"/>
      <c r="AI1289" s="147"/>
      <c r="AJ1289" s="147"/>
      <c r="AK1289" s="147"/>
      <c r="AL1289" s="147"/>
      <c r="AM1289" s="147"/>
      <c r="AN1289" s="147"/>
      <c r="AO1289" s="147"/>
      <c r="AP1289" s="147"/>
      <c r="AQ1289" s="147"/>
      <c r="AR1289" s="147"/>
      <c r="AS1289" s="147"/>
      <c r="AT1289" s="147"/>
      <c r="AU1289" s="147"/>
      <c r="AV1289" s="147"/>
      <c r="AW1289" s="147"/>
      <c r="AX1289" s="147"/>
      <c r="AY1289" s="147"/>
      <c r="AZ1289" s="147"/>
      <c r="BA1289" s="147"/>
      <c r="BB1289" s="147"/>
      <c r="BC1289" s="147"/>
      <c r="BD1289" s="147"/>
      <c r="BE1289" s="147"/>
      <c r="BF1289" s="147"/>
      <c r="BG1289" s="147"/>
      <c r="BH1289" s="147"/>
      <c r="BI1289" s="147"/>
      <c r="BJ1289" s="147"/>
      <c r="BK1289" s="147"/>
      <c r="BL1289" s="147"/>
      <c r="BM1289" s="147"/>
      <c r="BN1289" s="147"/>
      <c r="BO1289" s="147"/>
      <c r="BP1289" s="147"/>
      <c r="BQ1289" s="147"/>
      <c r="BR1289" s="147"/>
      <c r="BS1289" s="147"/>
      <c r="BT1289" s="147"/>
      <c r="BU1289" s="147"/>
      <c r="BV1289" s="147"/>
      <c r="BW1289" s="147"/>
      <c r="BX1289" s="147"/>
      <c r="BY1289" s="147"/>
      <c r="BZ1289" s="147"/>
      <c r="CA1289" s="147"/>
      <c r="CB1289" s="147"/>
      <c r="CC1289" s="147"/>
      <c r="CD1289" s="147"/>
      <c r="CE1289" s="147"/>
      <c r="CF1289" s="147"/>
      <c r="CG1289" s="147"/>
      <c r="CH1289" s="147"/>
      <c r="CI1289" s="147"/>
      <c r="CJ1289" s="147"/>
      <c r="CK1289" s="147"/>
    </row>
    <row r="1290" spans="1:89">
      <c r="A1290" s="147"/>
      <c r="B1290" s="147"/>
      <c r="C1290" s="147"/>
      <c r="D1290" s="147"/>
      <c r="E1290" s="147"/>
      <c r="F1290" s="147"/>
      <c r="G1290" s="147"/>
      <c r="H1290" s="147"/>
      <c r="I1290" s="147"/>
      <c r="J1290" s="147"/>
      <c r="K1290" s="147"/>
      <c r="L1290" s="147"/>
      <c r="M1290" s="147"/>
      <c r="N1290" s="147"/>
      <c r="O1290" s="158"/>
      <c r="P1290" s="147"/>
      <c r="Q1290" s="147"/>
      <c r="R1290" s="147"/>
      <c r="S1290" s="147"/>
      <c r="T1290" s="147"/>
      <c r="U1290" s="147"/>
      <c r="V1290" s="147"/>
      <c r="W1290" s="147"/>
      <c r="X1290" s="147"/>
      <c r="Y1290" s="147"/>
      <c r="Z1290" s="147"/>
      <c r="AA1290" s="147"/>
      <c r="AB1290" s="147"/>
      <c r="AC1290" s="147"/>
      <c r="AD1290" s="147"/>
      <c r="AE1290" s="147"/>
      <c r="AF1290" s="147"/>
      <c r="AG1290" s="147"/>
      <c r="AH1290" s="147"/>
      <c r="AI1290" s="147"/>
      <c r="AJ1290" s="147"/>
      <c r="AK1290" s="147"/>
      <c r="AL1290" s="147"/>
      <c r="AM1290" s="147"/>
      <c r="AN1290" s="147"/>
      <c r="AO1290" s="147"/>
      <c r="AP1290" s="147"/>
      <c r="AQ1290" s="147"/>
      <c r="AR1290" s="147"/>
      <c r="AS1290" s="147"/>
      <c r="AT1290" s="147"/>
      <c r="AU1290" s="147"/>
      <c r="AV1290" s="147"/>
      <c r="AW1290" s="147"/>
      <c r="AX1290" s="147"/>
      <c r="AY1290" s="147"/>
      <c r="AZ1290" s="147"/>
      <c r="BA1290" s="147"/>
      <c r="BB1290" s="147"/>
      <c r="BC1290" s="147"/>
      <c r="BD1290" s="147"/>
      <c r="BE1290" s="147"/>
      <c r="BF1290" s="147"/>
      <c r="BG1290" s="147"/>
      <c r="BH1290" s="147"/>
      <c r="BI1290" s="147"/>
      <c r="BJ1290" s="147"/>
      <c r="BK1290" s="147"/>
      <c r="BL1290" s="147"/>
      <c r="BM1290" s="147"/>
      <c r="BN1290" s="147"/>
      <c r="BO1290" s="147"/>
      <c r="BP1290" s="147"/>
      <c r="BQ1290" s="147"/>
      <c r="BR1290" s="147"/>
      <c r="BS1290" s="147"/>
      <c r="BT1290" s="147"/>
      <c r="BU1290" s="147"/>
      <c r="BV1290" s="147"/>
      <c r="BW1290" s="147"/>
      <c r="BX1290" s="147"/>
      <c r="BY1290" s="147"/>
      <c r="BZ1290" s="147"/>
      <c r="CA1290" s="147"/>
      <c r="CB1290" s="147"/>
      <c r="CC1290" s="147"/>
      <c r="CD1290" s="147"/>
      <c r="CE1290" s="147"/>
      <c r="CF1290" s="147"/>
      <c r="CG1290" s="147"/>
      <c r="CH1290" s="147"/>
      <c r="CI1290" s="147"/>
      <c r="CJ1290" s="147"/>
      <c r="CK1290" s="147"/>
    </row>
    <row r="1291" spans="1:89">
      <c r="A1291" s="147"/>
      <c r="B1291" s="147"/>
      <c r="C1291" s="147"/>
      <c r="D1291" s="147"/>
      <c r="E1291" s="147"/>
      <c r="F1291" s="147"/>
      <c r="G1291" s="147"/>
      <c r="H1291" s="147"/>
      <c r="I1291" s="147"/>
      <c r="J1291" s="147"/>
      <c r="K1291" s="147"/>
      <c r="L1291" s="147"/>
      <c r="M1291" s="147"/>
      <c r="N1291" s="147"/>
      <c r="O1291" s="158"/>
      <c r="P1291" s="147"/>
      <c r="Q1291" s="147"/>
      <c r="R1291" s="147"/>
      <c r="S1291" s="147"/>
      <c r="T1291" s="147"/>
      <c r="U1291" s="147"/>
      <c r="V1291" s="147"/>
      <c r="W1291" s="147"/>
      <c r="X1291" s="147"/>
      <c r="Y1291" s="147"/>
      <c r="Z1291" s="147"/>
      <c r="AA1291" s="147"/>
      <c r="AB1291" s="147"/>
      <c r="AC1291" s="147"/>
      <c r="AD1291" s="147"/>
      <c r="AE1291" s="147"/>
      <c r="AF1291" s="147"/>
      <c r="AG1291" s="147"/>
      <c r="AH1291" s="147"/>
      <c r="AI1291" s="147"/>
      <c r="AJ1291" s="147"/>
      <c r="AK1291" s="147"/>
      <c r="AL1291" s="147"/>
      <c r="AM1291" s="147"/>
      <c r="AN1291" s="147"/>
      <c r="AO1291" s="147"/>
      <c r="AP1291" s="147"/>
      <c r="AQ1291" s="147"/>
      <c r="AR1291" s="147"/>
      <c r="AS1291" s="147"/>
      <c r="AT1291" s="147"/>
      <c r="AU1291" s="147"/>
      <c r="AV1291" s="147"/>
      <c r="AW1291" s="147"/>
      <c r="AX1291" s="147"/>
      <c r="AY1291" s="147"/>
      <c r="AZ1291" s="147"/>
      <c r="BA1291" s="147"/>
      <c r="BB1291" s="147"/>
      <c r="BC1291" s="147"/>
      <c r="BD1291" s="147"/>
      <c r="BE1291" s="147"/>
      <c r="BF1291" s="147"/>
      <c r="BG1291" s="147"/>
      <c r="BH1291" s="147"/>
      <c r="BI1291" s="147"/>
      <c r="BJ1291" s="147"/>
      <c r="BK1291" s="147"/>
      <c r="BL1291" s="147"/>
      <c r="BM1291" s="147"/>
      <c r="BN1291" s="147"/>
      <c r="BO1291" s="147"/>
      <c r="BP1291" s="147"/>
      <c r="BQ1291" s="147"/>
      <c r="BR1291" s="147"/>
      <c r="BS1291" s="147"/>
      <c r="BT1291" s="147"/>
      <c r="BU1291" s="147"/>
      <c r="BV1291" s="147"/>
      <c r="BW1291" s="147"/>
      <c r="BX1291" s="147"/>
      <c r="BY1291" s="147"/>
      <c r="BZ1291" s="147"/>
      <c r="CA1291" s="147"/>
      <c r="CB1291" s="147"/>
      <c r="CC1291" s="147"/>
      <c r="CD1291" s="147"/>
      <c r="CE1291" s="147"/>
      <c r="CF1291" s="147"/>
      <c r="CG1291" s="147"/>
      <c r="CH1291" s="147"/>
      <c r="CI1291" s="147"/>
      <c r="CJ1291" s="147"/>
      <c r="CK1291" s="147"/>
    </row>
    <row r="1292" spans="1:89">
      <c r="A1292" s="147"/>
      <c r="B1292" s="147"/>
      <c r="C1292" s="147"/>
      <c r="D1292" s="147"/>
      <c r="E1292" s="147"/>
      <c r="F1292" s="147"/>
      <c r="G1292" s="147"/>
      <c r="H1292" s="147"/>
      <c r="I1292" s="147"/>
      <c r="J1292" s="147"/>
      <c r="K1292" s="147"/>
      <c r="L1292" s="147"/>
      <c r="M1292" s="147"/>
      <c r="N1292" s="147"/>
      <c r="O1292" s="158"/>
      <c r="P1292" s="147"/>
      <c r="Q1292" s="147"/>
      <c r="R1292" s="147"/>
      <c r="S1292" s="147"/>
      <c r="T1292" s="147"/>
      <c r="U1292" s="147"/>
      <c r="V1292" s="147"/>
      <c r="W1292" s="147"/>
      <c r="X1292" s="147"/>
      <c r="Y1292" s="147"/>
      <c r="Z1292" s="147"/>
      <c r="AA1292" s="147"/>
      <c r="AB1292" s="147"/>
      <c r="AC1292" s="147"/>
      <c r="AD1292" s="147"/>
      <c r="AE1292" s="147"/>
      <c r="AF1292" s="147"/>
      <c r="AG1292" s="147"/>
      <c r="AH1292" s="147"/>
      <c r="AI1292" s="147"/>
      <c r="AJ1292" s="147"/>
      <c r="AK1292" s="147"/>
      <c r="AL1292" s="147"/>
      <c r="AM1292" s="147"/>
      <c r="AN1292" s="147"/>
      <c r="AO1292" s="147"/>
      <c r="AP1292" s="147"/>
      <c r="AQ1292" s="147"/>
      <c r="AR1292" s="147"/>
      <c r="AS1292" s="147"/>
      <c r="AT1292" s="147"/>
      <c r="AU1292" s="147"/>
      <c r="AV1292" s="147"/>
      <c r="AW1292" s="147"/>
      <c r="AX1292" s="147"/>
      <c r="AY1292" s="147"/>
      <c r="AZ1292" s="147"/>
      <c r="BA1292" s="147"/>
      <c r="BB1292" s="147"/>
      <c r="BC1292" s="147"/>
      <c r="BD1292" s="147"/>
      <c r="BE1292" s="147"/>
      <c r="BF1292" s="147"/>
      <c r="BG1292" s="147"/>
      <c r="BH1292" s="147"/>
      <c r="BI1292" s="147"/>
      <c r="BJ1292" s="147"/>
      <c r="BK1292" s="147"/>
      <c r="BL1292" s="147"/>
      <c r="BM1292" s="147"/>
      <c r="BN1292" s="147"/>
      <c r="BO1292" s="147"/>
      <c r="BP1292" s="147"/>
      <c r="BQ1292" s="147"/>
      <c r="BR1292" s="147"/>
      <c r="BS1292" s="147"/>
      <c r="BT1292" s="147"/>
      <c r="BU1292" s="147"/>
      <c r="BV1292" s="147"/>
      <c r="BW1292" s="147"/>
      <c r="BX1292" s="147"/>
      <c r="BY1292" s="147"/>
      <c r="BZ1292" s="147"/>
      <c r="CA1292" s="147"/>
      <c r="CB1292" s="147"/>
      <c r="CC1292" s="147"/>
      <c r="CD1292" s="147"/>
      <c r="CE1292" s="147"/>
      <c r="CF1292" s="147"/>
      <c r="CG1292" s="147"/>
      <c r="CH1292" s="147"/>
      <c r="CI1292" s="147"/>
      <c r="CJ1292" s="147"/>
      <c r="CK1292" s="147"/>
    </row>
    <row r="1293" spans="1:89">
      <c r="A1293" s="147"/>
      <c r="B1293" s="147"/>
      <c r="C1293" s="147"/>
      <c r="D1293" s="147"/>
      <c r="E1293" s="147"/>
      <c r="F1293" s="147"/>
      <c r="G1293" s="147"/>
      <c r="H1293" s="147"/>
      <c r="I1293" s="147"/>
      <c r="J1293" s="147"/>
      <c r="K1293" s="147"/>
      <c r="L1293" s="147"/>
      <c r="M1293" s="147"/>
      <c r="N1293" s="147"/>
      <c r="O1293" s="158"/>
      <c r="P1293" s="147"/>
      <c r="Q1293" s="147"/>
      <c r="R1293" s="147"/>
      <c r="S1293" s="147"/>
      <c r="T1293" s="147"/>
      <c r="U1293" s="147"/>
      <c r="V1293" s="147"/>
      <c r="W1293" s="147"/>
      <c r="X1293" s="147"/>
      <c r="Y1293" s="147"/>
      <c r="Z1293" s="147"/>
      <c r="AA1293" s="147"/>
      <c r="AB1293" s="147"/>
      <c r="AC1293" s="147"/>
      <c r="AD1293" s="147"/>
      <c r="AE1293" s="147"/>
      <c r="AF1293" s="147"/>
      <c r="AG1293" s="147"/>
      <c r="AH1293" s="147"/>
      <c r="AI1293" s="147"/>
      <c r="AJ1293" s="147"/>
      <c r="AK1293" s="147"/>
      <c r="AL1293" s="147"/>
      <c r="AM1293" s="147"/>
      <c r="AN1293" s="147"/>
      <c r="AO1293" s="147"/>
      <c r="AP1293" s="147"/>
      <c r="AQ1293" s="147"/>
      <c r="AR1293" s="147"/>
      <c r="AS1293" s="147"/>
      <c r="AT1293" s="147"/>
      <c r="AU1293" s="147"/>
      <c r="AV1293" s="147"/>
      <c r="AW1293" s="147"/>
      <c r="AX1293" s="147"/>
      <c r="AY1293" s="147"/>
      <c r="AZ1293" s="147"/>
      <c r="BA1293" s="147"/>
      <c r="BB1293" s="147"/>
      <c r="BC1293" s="147"/>
      <c r="BD1293" s="147"/>
      <c r="BE1293" s="147"/>
      <c r="BF1293" s="147"/>
      <c r="BG1293" s="147"/>
      <c r="BH1293" s="147"/>
      <c r="BI1293" s="147"/>
      <c r="BJ1293" s="147"/>
      <c r="BK1293" s="147"/>
      <c r="BL1293" s="147"/>
      <c r="BM1293" s="147"/>
      <c r="BN1293" s="147"/>
      <c r="BO1293" s="147"/>
      <c r="BP1293" s="147"/>
      <c r="BQ1293" s="147"/>
      <c r="BR1293" s="147"/>
      <c r="BS1293" s="147"/>
      <c r="BT1293" s="147"/>
      <c r="BU1293" s="147"/>
      <c r="BV1293" s="147"/>
      <c r="BW1293" s="147"/>
      <c r="BX1293" s="147"/>
      <c r="BY1293" s="147"/>
      <c r="BZ1293" s="147"/>
      <c r="CA1293" s="147"/>
      <c r="CB1293" s="147"/>
      <c r="CC1293" s="147"/>
      <c r="CD1293" s="147"/>
      <c r="CE1293" s="147"/>
      <c r="CF1293" s="147"/>
      <c r="CG1293" s="147"/>
      <c r="CH1293" s="147"/>
      <c r="CI1293" s="147"/>
      <c r="CJ1293" s="147"/>
      <c r="CK1293" s="147"/>
    </row>
    <row r="1294" spans="1:89">
      <c r="A1294" s="147"/>
      <c r="B1294" s="147"/>
      <c r="C1294" s="147"/>
      <c r="D1294" s="147"/>
      <c r="E1294" s="147"/>
      <c r="F1294" s="147"/>
      <c r="G1294" s="147"/>
      <c r="H1294" s="147"/>
      <c r="I1294" s="147"/>
      <c r="J1294" s="147"/>
      <c r="K1294" s="147"/>
      <c r="L1294" s="147"/>
      <c r="M1294" s="147"/>
      <c r="N1294" s="147"/>
      <c r="O1294" s="158"/>
      <c r="P1294" s="147"/>
      <c r="Q1294" s="147"/>
      <c r="R1294" s="147"/>
      <c r="S1294" s="147"/>
      <c r="T1294" s="147"/>
      <c r="U1294" s="147"/>
      <c r="V1294" s="147"/>
      <c r="W1294" s="147"/>
      <c r="X1294" s="147"/>
      <c r="Y1294" s="147"/>
      <c r="Z1294" s="147"/>
      <c r="AA1294" s="147"/>
      <c r="AB1294" s="147"/>
      <c r="AC1294" s="147"/>
      <c r="AD1294" s="147"/>
      <c r="AE1294" s="147"/>
      <c r="AF1294" s="147"/>
      <c r="AG1294" s="147"/>
      <c r="AH1294" s="147"/>
      <c r="AI1294" s="147"/>
      <c r="AJ1294" s="147"/>
      <c r="AK1294" s="147"/>
      <c r="AL1294" s="147"/>
      <c r="AM1294" s="147"/>
      <c r="AN1294" s="147"/>
      <c r="AO1294" s="147"/>
      <c r="AP1294" s="147"/>
      <c r="AQ1294" s="147"/>
      <c r="AR1294" s="147"/>
      <c r="AS1294" s="147"/>
      <c r="AT1294" s="147"/>
      <c r="AU1294" s="147"/>
      <c r="AV1294" s="147"/>
      <c r="AW1294" s="147"/>
      <c r="AX1294" s="147"/>
      <c r="AY1294" s="147"/>
      <c r="AZ1294" s="147"/>
      <c r="BA1294" s="147"/>
      <c r="BB1294" s="147"/>
      <c r="BC1294" s="147"/>
      <c r="BD1294" s="147"/>
      <c r="BE1294" s="147"/>
      <c r="BF1294" s="147"/>
      <c r="BG1294" s="147"/>
      <c r="BH1294" s="147"/>
      <c r="BI1294" s="147"/>
      <c r="BJ1294" s="147"/>
      <c r="BK1294" s="147"/>
      <c r="BL1294" s="147"/>
      <c r="BM1294" s="147"/>
      <c r="BN1294" s="147"/>
      <c r="BO1294" s="147"/>
      <c r="BP1294" s="147"/>
      <c r="BQ1294" s="147"/>
      <c r="BR1294" s="147"/>
      <c r="BS1294" s="147"/>
      <c r="BT1294" s="147"/>
      <c r="BU1294" s="147"/>
      <c r="BV1294" s="147"/>
      <c r="BW1294" s="147"/>
      <c r="BX1294" s="147"/>
      <c r="BY1294" s="147"/>
      <c r="BZ1294" s="147"/>
      <c r="CA1294" s="147"/>
      <c r="CB1294" s="147"/>
      <c r="CC1294" s="147"/>
      <c r="CD1294" s="147"/>
      <c r="CE1294" s="147"/>
      <c r="CF1294" s="147"/>
      <c r="CG1294" s="147"/>
      <c r="CH1294" s="147"/>
      <c r="CI1294" s="147"/>
      <c r="CJ1294" s="147"/>
      <c r="CK1294" s="147"/>
    </row>
    <row r="1295" spans="1:89">
      <c r="A1295" s="147"/>
      <c r="B1295" s="147"/>
      <c r="C1295" s="147"/>
      <c r="D1295" s="147"/>
      <c r="E1295" s="147"/>
      <c r="F1295" s="147"/>
      <c r="G1295" s="147"/>
      <c r="H1295" s="147"/>
      <c r="I1295" s="147"/>
      <c r="J1295" s="147"/>
      <c r="K1295" s="147"/>
      <c r="L1295" s="147"/>
      <c r="M1295" s="147"/>
      <c r="N1295" s="147"/>
      <c r="O1295" s="158"/>
      <c r="P1295" s="147"/>
      <c r="Q1295" s="147"/>
      <c r="R1295" s="147"/>
      <c r="S1295" s="147"/>
      <c r="T1295" s="147"/>
      <c r="U1295" s="147"/>
      <c r="V1295" s="147"/>
      <c r="W1295" s="147"/>
      <c r="X1295" s="147"/>
      <c r="Y1295" s="147"/>
      <c r="Z1295" s="147"/>
      <c r="AA1295" s="147"/>
      <c r="AB1295" s="147"/>
      <c r="AC1295" s="147"/>
      <c r="AD1295" s="147"/>
      <c r="AE1295" s="147"/>
      <c r="AF1295" s="147"/>
      <c r="AG1295" s="147"/>
      <c r="AH1295" s="147"/>
      <c r="AI1295" s="147"/>
      <c r="AJ1295" s="147"/>
      <c r="AK1295" s="147"/>
      <c r="AL1295" s="147"/>
      <c r="AM1295" s="147"/>
      <c r="AN1295" s="147"/>
      <c r="AO1295" s="147"/>
      <c r="AP1295" s="147"/>
      <c r="AQ1295" s="147"/>
      <c r="AR1295" s="147"/>
      <c r="AS1295" s="147"/>
      <c r="AT1295" s="147"/>
      <c r="AU1295" s="147"/>
      <c r="AV1295" s="147"/>
      <c r="AW1295" s="147"/>
      <c r="AX1295" s="147"/>
      <c r="AY1295" s="147"/>
      <c r="AZ1295" s="147"/>
      <c r="BA1295" s="147"/>
      <c r="BB1295" s="147"/>
      <c r="BC1295" s="147"/>
      <c r="BD1295" s="147"/>
      <c r="BE1295" s="147"/>
      <c r="BF1295" s="147"/>
      <c r="BG1295" s="147"/>
      <c r="BH1295" s="147"/>
      <c r="BI1295" s="147"/>
      <c r="BJ1295" s="147"/>
      <c r="BK1295" s="147"/>
      <c r="BL1295" s="147"/>
      <c r="BM1295" s="147"/>
      <c r="BN1295" s="147"/>
      <c r="BO1295" s="147"/>
      <c r="BP1295" s="147"/>
      <c r="BQ1295" s="147"/>
      <c r="BR1295" s="147"/>
      <c r="BS1295" s="147"/>
      <c r="BT1295" s="147"/>
      <c r="BU1295" s="147"/>
      <c r="BV1295" s="147"/>
      <c r="BW1295" s="147"/>
      <c r="BX1295" s="147"/>
      <c r="BY1295" s="147"/>
      <c r="BZ1295" s="147"/>
      <c r="CA1295" s="147"/>
      <c r="CB1295" s="147"/>
      <c r="CC1295" s="147"/>
      <c r="CD1295" s="147"/>
      <c r="CE1295" s="147"/>
      <c r="CF1295" s="147"/>
      <c r="CG1295" s="147"/>
      <c r="CH1295" s="147"/>
      <c r="CI1295" s="147"/>
      <c r="CJ1295" s="147"/>
      <c r="CK1295" s="147"/>
    </row>
    <row r="1296" spans="1:89">
      <c r="A1296" s="159"/>
      <c r="B1296" s="159"/>
      <c r="C1296" s="159"/>
      <c r="D1296" s="159"/>
      <c r="E1296" s="159"/>
      <c r="F1296" s="159"/>
      <c r="G1296" s="159"/>
      <c r="H1296" s="159"/>
      <c r="I1296" s="159"/>
      <c r="J1296" s="159"/>
    </row>
    <row r="1297" spans="1:10">
      <c r="A1297" s="159"/>
      <c r="B1297" s="159"/>
      <c r="C1297" s="159"/>
      <c r="D1297" s="159"/>
      <c r="E1297" s="159"/>
      <c r="F1297" s="159"/>
      <c r="G1297" s="159"/>
      <c r="H1297" s="159"/>
      <c r="I1297" s="159"/>
      <c r="J1297" s="159"/>
    </row>
    <row r="1298" spans="1:10">
      <c r="A1298" s="159"/>
      <c r="B1298" s="159"/>
      <c r="C1298" s="159"/>
      <c r="D1298" s="159"/>
      <c r="E1298" s="159"/>
      <c r="F1298" s="159"/>
      <c r="G1298" s="159"/>
      <c r="H1298" s="159"/>
      <c r="I1298" s="159"/>
      <c r="J1298" s="159"/>
    </row>
    <row r="1299" spans="1:10">
      <c r="A1299" s="159"/>
      <c r="B1299" s="159"/>
      <c r="C1299" s="159"/>
      <c r="D1299" s="159"/>
      <c r="E1299" s="159"/>
      <c r="F1299" s="159"/>
      <c r="G1299" s="159"/>
      <c r="H1299" s="159"/>
      <c r="I1299" s="159"/>
      <c r="J1299" s="159"/>
    </row>
    <row r="1300" spans="1:10">
      <c r="A1300" s="159"/>
      <c r="B1300" s="159"/>
      <c r="C1300" s="159"/>
      <c r="D1300" s="159"/>
      <c r="E1300" s="159"/>
      <c r="F1300" s="159"/>
      <c r="G1300" s="159"/>
      <c r="H1300" s="159"/>
      <c r="I1300" s="159"/>
      <c r="J1300" s="159"/>
    </row>
    <row r="1301" spans="1:10">
      <c r="A1301" s="159"/>
      <c r="B1301" s="159"/>
      <c r="C1301" s="159"/>
      <c r="D1301" s="159"/>
      <c r="E1301" s="159"/>
      <c r="F1301" s="159"/>
      <c r="G1301" s="159"/>
      <c r="H1301" s="159"/>
      <c r="I1301" s="159"/>
      <c r="J1301" s="159"/>
    </row>
    <row r="1302" spans="1:10">
      <c r="A1302" s="159"/>
      <c r="B1302" s="159"/>
      <c r="C1302" s="159"/>
      <c r="D1302" s="159"/>
      <c r="E1302" s="159"/>
      <c r="F1302" s="159"/>
      <c r="G1302" s="159"/>
      <c r="H1302" s="159"/>
      <c r="I1302" s="159"/>
      <c r="J1302" s="159"/>
    </row>
    <row r="1303" spans="1:10">
      <c r="A1303" s="159"/>
      <c r="B1303" s="159"/>
      <c r="C1303" s="159"/>
      <c r="D1303" s="159"/>
      <c r="E1303" s="159"/>
      <c r="F1303" s="159"/>
      <c r="G1303" s="159"/>
      <c r="H1303" s="159"/>
      <c r="I1303" s="159"/>
      <c r="J1303" s="159"/>
    </row>
  </sheetData>
  <sheetProtection password="CF21" sheet="1" objects="1" scenarios="1"/>
  <mergeCells count="7">
    <mergeCell ref="L1:N1"/>
    <mergeCell ref="B30:H30"/>
    <mergeCell ref="A6:F6"/>
    <mergeCell ref="G6:G7"/>
    <mergeCell ref="H6:H7"/>
    <mergeCell ref="A7:F7"/>
    <mergeCell ref="A9:A28"/>
  </mergeCells>
  <hyperlinks>
    <hyperlink ref="L1:N1" location="Front!E1" display="Front!E1" xr:uid="{00000000-0004-0000-0800-000000000000}"/>
  </hyperlinks>
  <pageMargins left="0.39370078740157483" right="0.39370078740157483" top="0.39370078740157483" bottom="0.39370078740157483" header="0.31496062992125984" footer="0.31496062992125984"/>
  <pageSetup paperSize="9" scale="79" orientation="landscape"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61" r:id="rId4" name="Drop Down 1">
              <controlPr defaultSize="0" autoLine="0" autoPict="0">
                <anchor moveWithCells="1">
                  <from>
                    <xdr:col>2</xdr:col>
                    <xdr:colOff>209550</xdr:colOff>
                    <xdr:row>3</xdr:row>
                    <xdr:rowOff>95250</xdr:rowOff>
                  </from>
                  <to>
                    <xdr:col>5</xdr:col>
                    <xdr:colOff>781050</xdr:colOff>
                    <xdr:row>5</xdr:row>
                    <xdr:rowOff>0</xdr:rowOff>
                  </to>
                </anchor>
              </controlPr>
            </control>
          </mc:Choice>
        </mc:AlternateContent>
      </controls>
    </mc:Choice>
  </mc:AlternateContent>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9676E22B47CC48CBA49BA16071DCFF24" version="1.0.0">
  <systemFields>
    <field name="Objective-Id">
      <value order="0">A6727788</value>
    </field>
    <field name="Objective-Title">
      <value order="0">2020 Gambling Losses Machines and Venues</value>
    </field>
    <field name="Objective-Description">
      <value order="0"/>
    </field>
    <field name="Objective-CreationStamp">
      <value order="0">2020-07-20T00:56:00Z</value>
    </field>
    <field name="Objective-IsApproved">
      <value order="0">false</value>
    </field>
    <field name="Objective-IsPublished">
      <value order="0">true</value>
    </field>
    <field name="Objective-DatePublished">
      <value order="0">2020-07-20T01:02:35Z</value>
    </field>
    <field name="Objective-ModificationStamp">
      <value order="0">2020-08-20T05:32:03Z</value>
    </field>
    <field name="Objective-Owner">
      <value order="0">Hayden Brown</value>
    </field>
    <field name="Objective-Path">
      <value order="0">Classified Object:Classified Object:Classified Object:Classified Object:Items linked to Website</value>
    </field>
    <field name="Objective-Parent">
      <value order="0">Items linked to Website</value>
    </field>
    <field name="Objective-State">
      <value order="0">Published</value>
    </field>
    <field name="Objective-VersionId">
      <value order="0">vA8782792</value>
    </field>
    <field name="Objective-Version">
      <value order="0">1.0</value>
    </field>
    <field name="Objective-VersionNumber">
      <value order="0">1</value>
    </field>
    <field name="Objective-VersionComment">
      <value order="0">First version</value>
    </field>
    <field name="Objective-FileNumber">
      <value order="0">qA1096</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Front</vt:lpstr>
      <vt:lpstr>Indicators</vt:lpstr>
      <vt:lpstr>Venue List</vt:lpstr>
      <vt:lpstr>Converter to Grouped Localities</vt:lpstr>
      <vt:lpstr>Comparison</vt:lpstr>
      <vt:lpstr>Data</vt:lpstr>
      <vt:lpstr>Venues</vt:lpstr>
      <vt:lpstr>3 Correl Data Metro</vt:lpstr>
      <vt:lpstr>Correlations</vt:lpstr>
      <vt:lpstr>Data (2)</vt:lpstr>
      <vt:lpstr>Gaming Trends</vt:lpstr>
      <vt:lpstr>Summing by LGA from Venue Data</vt:lpstr>
      <vt:lpstr>'3 Correl Data Metro'!Print_Area</vt:lpstr>
      <vt:lpstr>Comparison!Print_Area</vt:lpstr>
      <vt:lpstr>Correlations!Print_Area</vt:lpstr>
      <vt:lpstr>Data!Print_Area</vt:lpstr>
      <vt:lpstr>'Gaming Trends'!Print_Area</vt:lpstr>
      <vt:lpstr>Indicators!Print_Area</vt:lpstr>
      <vt:lpstr>'Venue List'!Print_Area</vt:lpstr>
      <vt:lpstr>Venues!Print_Area</vt:lpstr>
      <vt:lpstr>'Venue List'!Print_Titles</vt:lpstr>
      <vt:lpstr>Venues!Print_Titles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2019-07-24T23:06:34Z</cp:lastPrinted>
  <dcterms:created xsi:type="dcterms:W3CDTF">2008-07-29T05:19:45Z</dcterms:created>
  <dcterms:modified xsi:type="dcterms:W3CDTF">2020-07-20T01:49:28Z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A6727788</vt:lpwstr>
  </property>
  <property fmtid="{D5CDD505-2E9C-101B-9397-08002B2CF9AE}" pid="4" name="Objective-Title">
    <vt:lpwstr>2020 Gambling Losses Machines and Venues</vt:lpwstr>
  </property>
  <property fmtid="{D5CDD505-2E9C-101B-9397-08002B2CF9AE}" pid="5" name="Objective-Description">
    <vt:lpwstr/>
  </property>
  <property fmtid="{D5CDD505-2E9C-101B-9397-08002B2CF9AE}" pid="6" name="Objective-CreationStamp">
    <vt:filetime>2020-07-20T00:56:00Z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2020-07-20T01:02:35Z</vt:filetime>
  </property>
  <property fmtid="{D5CDD505-2E9C-101B-9397-08002B2CF9AE}" pid="10" name="Objective-ModificationStamp">
    <vt:filetime>2020-08-20T05:32:03Z</vt:filetime>
  </property>
  <property fmtid="{D5CDD505-2E9C-101B-9397-08002B2CF9AE}" pid="11" name="Objective-Owner">
    <vt:lpwstr>Hayden Brown</vt:lpwstr>
  </property>
  <property fmtid="{D5CDD505-2E9C-101B-9397-08002B2CF9AE}" pid="12" name="Objective-Path">
    <vt:lpwstr>Classified Object:Classified Object:Classified Object:Classified Object:Items linked to Website</vt:lpwstr>
  </property>
  <property fmtid="{D5CDD505-2E9C-101B-9397-08002B2CF9AE}" pid="13" name="Objective-Parent">
    <vt:lpwstr>Items linked to Website</vt:lpwstr>
  </property>
  <property fmtid="{D5CDD505-2E9C-101B-9397-08002B2CF9AE}" pid="14" name="Objective-State">
    <vt:lpwstr>Published</vt:lpwstr>
  </property>
  <property fmtid="{D5CDD505-2E9C-101B-9397-08002B2CF9AE}" pid="15" name="Objective-VersionId">
    <vt:lpwstr>vA8782792</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qA1096</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Comment">
    <vt:lpwstr/>
  </property>
  <property fmtid="{D5CDD505-2E9C-101B-9397-08002B2CF9AE}" pid="28" name="Objective-Bulk Update Status">
    <vt:lpwstr/>
  </property>
</Properties>
</file>