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ctrlProps/ctrlProp10.xml" ContentType="application/vnd.ms-excel.controlproperties+xml"/>
  <Override PartName="/xl/tables/table1.xml" ContentType="application/vnd.openxmlformats-officedocument.spreadsheetml.table+xml"/>
  <Override PartName="/xl/charts/chart1.xml" ContentType="application/vnd.openxmlformats-officedocument.drawingml.chart+xml"/>
  <Override PartName="/xl/drawings/drawing10.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1.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5ad73da690a54adb"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13_ncr:1_{00B20EF2-CAD0-40AE-A59B-BD0018AEEF5B}" xr6:coauthVersionLast="47" xr6:coauthVersionMax="47" xr10:uidLastSave="{00000000-0000-0000-0000-000000000000}"/>
  <bookViews>
    <workbookView showSheetTabs="0" xWindow="-98" yWindow="-98" windowWidth="20715" windowHeight="13276" tabRatio="828" xr2:uid="{A346BFF6-8121-4AA9-8665-462063CD071A}"/>
  </bookViews>
  <sheets>
    <sheet name="Front" sheetId="18" r:id="rId1"/>
    <sheet name="Quick Access Toolbar" sheetId="13" r:id="rId2"/>
    <sheet name="General" sheetId="5" r:id="rId3"/>
    <sheet name="Concatenate" sheetId="19" r:id="rId4"/>
    <sheet name="Time" sheetId="6" r:id="rId5"/>
    <sheet name="Count &amp; Sumif" sheetId="4" r:id="rId6"/>
    <sheet name="Subtotal" sheetId="2" r:id="rId7"/>
    <sheet name="Index" sheetId="7" r:id="rId8"/>
    <sheet name="Match" sheetId="8" r:id="rId9"/>
    <sheet name="Vlookup" sheetId="9" r:id="rId10"/>
    <sheet name="Validation" sheetId="14" r:id="rId11"/>
    <sheet name="Ranges" sheetId="12" r:id="rId12"/>
    <sheet name="Dbase" sheetId="3" r:id="rId13"/>
    <sheet name="Pivot Tables" sheetId="20" r:id="rId14"/>
    <sheet name="Offset" sheetId="1" r:id="rId15"/>
    <sheet name="Chart &amp; selected values" sheetId="10" r:id="rId16"/>
    <sheet name="Sheet1" sheetId="15" r:id="rId17"/>
    <sheet name="Chart &amp; changing values" sheetId="11" r:id="rId18"/>
  </sheets>
  <externalReferences>
    <externalReference r:id="rId19"/>
    <externalReference r:id="rId20"/>
  </externalReferences>
  <definedNames>
    <definedName name="_xlnm._FilterDatabase" localSheetId="6" hidden="1">Subtotal!$C$25:$H$49</definedName>
    <definedName name="_Toc72035606" localSheetId="6">Subtotal!$B$3</definedName>
    <definedName name="_Toc72035671" localSheetId="2">General!$B$157</definedName>
    <definedName name="_Toc72035672" localSheetId="2">General!$B$166</definedName>
    <definedName name="_Toc72035681" localSheetId="3">Concatenate!$B$20</definedName>
    <definedName name="_Toc72035681" localSheetId="4">Time!$B$19</definedName>
    <definedName name="_Toc72035690" localSheetId="2">General!$B$15</definedName>
    <definedName name="_Toc72035692" localSheetId="2">General!$B$27</definedName>
    <definedName name="_Toc72035694" localSheetId="2">General!$B$30</definedName>
    <definedName name="DataRangeX">OFFSET([1]Sheet1!$B$3,[1]Sheet1!$N$5,[1]Sheet1!$N$10,[1]Sheet1!$N$11-[1]Sheet1!$N$5+1)</definedName>
    <definedName name="DateRange" localSheetId="17">OFFSET('Chart &amp; changing values'!$A$1,MATCH('Chart &amp; changing values'!$E$3,'Chart &amp; changing values'!$A:$A,0)-1,0,MATCH('Chart &amp; changing values'!$E$4,'Chart &amp; changing values'!$A:$A,0)-MATCH('Chart &amp; changing values'!$E$3,'Chart &amp; changing values'!$A:$A,0)+1)</definedName>
    <definedName name="DateRange" localSheetId="16">OFFSET(Sheet1!$C$8,1,0,COUNTA(Sheet1!$C:$C)-1)</definedName>
    <definedName name="DateRangeX">OFFSET([1]Sheet1!$B$3,[1]Sheet1!$N$5,0,[1]Sheet1!$N$11-[1]Sheet1!$N$5+1)</definedName>
    <definedName name="HancockSeries" localSheetId="17">OFFSET('Chart &amp; changing values'!#REF!,0,0,COUNTA('Chart &amp; changing values'!#REF!)-1)</definedName>
    <definedName name="JonesSeries" localSheetId="17">OFFSET('Chart &amp; changing values'!$C$2,0,0,COUNTA('Chart &amp; changing values'!$C:$C)-1)</definedName>
    <definedName name="Letter_Range" localSheetId="15">'Chart &amp; selected values'!$K$9:$K$16</definedName>
    <definedName name="MichaelsSeries" localSheetId="17">OFFSET('Chart &amp; changing values'!#REF!,0,0,COUNTA('Chart &amp; changing values'!#REF!)-1)</definedName>
    <definedName name="MonthLabels" localSheetId="17">OFFSET('Chart &amp; changing values'!$A$2,0,0,COUNTA('Chart &amp; changing values'!$A:$A))</definedName>
    <definedName name="Offset">Validation!$N$8</definedName>
    <definedName name="Offset_Range" localSheetId="17">'[2]Chart &amp; moving group of values'!$D$25</definedName>
    <definedName name="_xlnm.Print_Area" localSheetId="17">'Chart &amp; changing values'!$A$1:$R$54</definedName>
    <definedName name="_xlnm.Print_Area" localSheetId="15">'Chart &amp; selected values'!$B$1:$U$29</definedName>
    <definedName name="_xlnm.Print_Area" localSheetId="3">Concatenate!$B$1:$O$33</definedName>
    <definedName name="_xlnm.Print_Area" localSheetId="5">'Count &amp; Sumif'!$B$1:$O$58</definedName>
    <definedName name="_xlnm.Print_Area" localSheetId="12">Dbase!$B$1:$Q$67</definedName>
    <definedName name="_xlnm.Print_Area" localSheetId="0">Front!$C$1:$O$36</definedName>
    <definedName name="_xlnm.Print_Area" localSheetId="2">General!$B$1:$M$232</definedName>
    <definedName name="_xlnm.Print_Area" localSheetId="7">Index!$B$1:$O$23</definedName>
    <definedName name="_xlnm.Print_Area" localSheetId="8">Match!$B$1:$O$40</definedName>
    <definedName name="_xlnm.Print_Area" localSheetId="14">Offset!$B$1:$U$27</definedName>
    <definedName name="_xlnm.Print_Area" localSheetId="13">'Pivot Tables'!$B$1:$O$87</definedName>
    <definedName name="_xlnm.Print_Area" localSheetId="1">'Quick Access Toolbar'!$A$1:$N$45</definedName>
    <definedName name="_xlnm.Print_Area" localSheetId="11">Ranges!$B$1:$T$53</definedName>
    <definedName name="_xlnm.Print_Area" localSheetId="16">Sheet1!$B$1:$S$79</definedName>
    <definedName name="_xlnm.Print_Area" localSheetId="6">Subtotal!$B$1:$O$49</definedName>
    <definedName name="_xlnm.Print_Area" localSheetId="4">Time!$B$1:$O$24</definedName>
    <definedName name="_xlnm.Print_Area" localSheetId="10">Validation!$B$1:$P$65</definedName>
    <definedName name="_xlnm.Print_Area" localSheetId="9">Vlookup!$A$1:$S$49</definedName>
    <definedName name="ResultsRange" localSheetId="16">OFFSET(Sheet1!$D$8,1,0,COUNTA(Sheet1!$D:$D)-1)</definedName>
    <definedName name="SmithRange" localSheetId="17">OFFSET('Chart &amp; changing values'!$B$1,MATCH('Chart &amp; changing values'!$E$3,'Chart &amp; changing values'!$A:$A,0)-1,0,MATCH('Chart &amp; changing values'!$E$4,'Chart &amp; changing values'!$A:$A,0)-MATCH('Chart &amp; changing values'!$E$3,'Chart &amp; changing values'!$A:$A,0)+1)</definedName>
    <definedName name="Validation">Validation!$O$32:$O$37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61" i="5" l="1"/>
  <c r="J215" i="5"/>
  <c r="E25" i="19"/>
  <c r="D25" i="19"/>
  <c r="C25" i="19"/>
  <c r="B25" i="19"/>
  <c r="H10" i="19"/>
  <c r="F7" i="19"/>
  <c r="B31" i="19" l="1"/>
  <c r="F3" i="11"/>
  <c r="N10" i="15" a="1"/>
  <c r="N10" i="15" s="1"/>
  <c r="G10" i="15" a="1"/>
  <c r="G10" i="15" s="1"/>
  <c r="E220" i="5"/>
  <c r="E216" i="5"/>
  <c r="E215" i="5"/>
  <c r="D49" i="14" a="1"/>
  <c r="D49" i="14" s="1"/>
  <c r="E180" i="5"/>
  <c r="D61" i="5"/>
  <c r="D62" i="5"/>
  <c r="D63" i="5"/>
  <c r="D64" i="5"/>
  <c r="D65" i="5"/>
  <c r="D23" i="5"/>
  <c r="D21" i="5"/>
  <c r="D19" i="5"/>
  <c r="D11" i="5"/>
  <c r="D5" i="5"/>
  <c r="D208" i="5"/>
  <c r="D206" i="5"/>
  <c r="D197" i="5"/>
  <c r="D195" i="5"/>
  <c r="H24" i="2"/>
  <c r="G24" i="2"/>
  <c r="C24" i="2"/>
  <c r="G3" i="11" l="1"/>
  <c r="D5" i="10"/>
  <c r="C5" i="10"/>
  <c r="H7" i="10"/>
  <c r="H8" i="10" s="1"/>
  <c r="I6" i="10"/>
  <c r="J6" i="10" s="1"/>
  <c r="H9" i="10" l="1"/>
  <c r="I8" i="10"/>
  <c r="J8" i="10" s="1"/>
  <c r="I7" i="10"/>
  <c r="J7" i="10" s="1"/>
  <c r="H10" i="10" l="1"/>
  <c r="I9" i="10"/>
  <c r="J9" i="10" s="1"/>
  <c r="H11" i="10" l="1"/>
  <c r="I11" i="10" s="1"/>
  <c r="J11" i="10" s="1"/>
  <c r="I10" i="10"/>
  <c r="J10" i="10" s="1"/>
  <c r="I28" i="9" l="1"/>
  <c r="J28" i="9"/>
  <c r="K28" i="9"/>
  <c r="L28" i="9"/>
  <c r="M28" i="9"/>
  <c r="N28" i="9"/>
  <c r="O28" i="9"/>
  <c r="P28" i="9"/>
  <c r="Q28" i="9"/>
  <c r="R28" i="9"/>
  <c r="S28" i="9"/>
  <c r="T28" i="9"/>
  <c r="U28" i="9"/>
  <c r="V28" i="9"/>
  <c r="W28" i="9"/>
  <c r="X28" i="9"/>
  <c r="Y28" i="9"/>
  <c r="Z28" i="9"/>
  <c r="AA28" i="9"/>
  <c r="AB28" i="9"/>
  <c r="AC28" i="9"/>
  <c r="AD28" i="9"/>
  <c r="AE28" i="9"/>
  <c r="AF28" i="9"/>
  <c r="AG28" i="9"/>
  <c r="H28" i="9"/>
  <c r="G46" i="9"/>
  <c r="P16" i="9"/>
  <c r="O17" i="9"/>
  <c r="O18" i="9"/>
  <c r="O19" i="9"/>
  <c r="O16" i="9"/>
  <c r="P17" i="9"/>
  <c r="P18" i="9"/>
  <c r="P19" i="9"/>
  <c r="E17" i="9"/>
  <c r="E10" i="9"/>
  <c r="E8" i="9"/>
  <c r="D35" i="9" l="1"/>
  <c r="H45" i="9"/>
  <c r="I46" i="9"/>
  <c r="O46" i="9"/>
  <c r="L45" i="9"/>
  <c r="K45" i="9"/>
  <c r="R45" i="9"/>
  <c r="J45" i="9"/>
  <c r="N46" i="9"/>
  <c r="Q45" i="9"/>
  <c r="I45" i="9"/>
  <c r="M46" i="9"/>
  <c r="P46" i="9"/>
  <c r="P45" i="9"/>
  <c r="H46" i="9"/>
  <c r="L46" i="9"/>
  <c r="O45" i="9"/>
  <c r="S46" i="9"/>
  <c r="K46" i="9"/>
  <c r="S45" i="9"/>
  <c r="N45" i="9"/>
  <c r="R46" i="9"/>
  <c r="J46" i="9"/>
  <c r="M45" i="9"/>
  <c r="Q46" i="9"/>
  <c r="F187" i="5"/>
  <c r="H154" i="5"/>
  <c r="E170" i="5"/>
  <c r="E169" i="5"/>
  <c r="E162" i="5"/>
  <c r="E150" i="5"/>
  <c r="F136" i="5"/>
  <c r="F137" i="5"/>
  <c r="F138" i="5"/>
  <c r="F139" i="5"/>
  <c r="F131" i="5"/>
  <c r="F125" i="5"/>
  <c r="F124" i="5"/>
  <c r="F123" i="5"/>
  <c r="G109" i="5"/>
  <c r="G110" i="5"/>
  <c r="G111" i="5"/>
  <c r="G112" i="5"/>
  <c r="G113" i="5"/>
  <c r="G114" i="5"/>
  <c r="G115" i="5"/>
  <c r="G116" i="5"/>
  <c r="G117" i="5"/>
  <c r="G108" i="5"/>
  <c r="E30" i="8"/>
  <c r="E31" i="8"/>
  <c r="E32" i="8"/>
  <c r="E33" i="8"/>
  <c r="E34" i="8"/>
  <c r="E35" i="8"/>
  <c r="E36" i="8"/>
  <c r="E37" i="8"/>
  <c r="E38" i="8"/>
  <c r="E39" i="8"/>
  <c r="E40" i="8"/>
  <c r="E29" i="8"/>
  <c r="E14" i="8"/>
  <c r="E12" i="8"/>
  <c r="C13" i="7"/>
  <c r="C8" i="7"/>
  <c r="D23" i="6"/>
  <c r="D16" i="6"/>
  <c r="H8" i="6"/>
  <c r="H7" i="6"/>
  <c r="H6" i="6"/>
  <c r="H5" i="6"/>
  <c r="D8" i="6"/>
  <c r="D7" i="6"/>
  <c r="D6" i="6"/>
  <c r="D5" i="6"/>
  <c r="E35" i="5"/>
  <c r="I21" i="3"/>
  <c r="N5" i="1" a="1"/>
  <c r="N5" i="1" s="1"/>
  <c r="J5" i="1" a="1"/>
  <c r="J5" i="1" s="1"/>
  <c r="K44" i="3"/>
  <c r="M44" i="3" s="1"/>
  <c r="K42" i="3"/>
  <c r="L44" i="3" s="1"/>
  <c r="K30" i="3"/>
  <c r="H34" i="3" s="1"/>
  <c r="K28" i="3"/>
  <c r="G34" i="3" s="1"/>
  <c r="I38" i="3" l="1"/>
  <c r="F38" i="8"/>
  <c r="F30" i="8"/>
  <c r="F35" i="8"/>
  <c r="F37" i="8"/>
  <c r="F40" i="8"/>
  <c r="F32" i="8"/>
  <c r="F39" i="8"/>
  <c r="F31" i="8"/>
  <c r="F34" i="8"/>
  <c r="F36" i="8"/>
  <c r="F29" i="8"/>
  <c r="F33" i="8"/>
  <c r="O17" i="1" a="1"/>
  <c r="O17" i="1" s="1"/>
  <c r="O16" i="1"/>
  <c r="G29" i="8" l="1"/>
  <c r="H30" i="8"/>
  <c r="H38" i="8"/>
  <c r="G33" i="8"/>
  <c r="G31" i="8"/>
  <c r="H31" i="8"/>
  <c r="H39" i="8"/>
  <c r="G34" i="8"/>
  <c r="G39" i="8"/>
  <c r="G40" i="8"/>
  <c r="H32" i="8"/>
  <c r="H40" i="8"/>
  <c r="G35" i="8"/>
  <c r="G30" i="8"/>
  <c r="H36" i="8"/>
  <c r="H37" i="8"/>
  <c r="H33" i="8"/>
  <c r="H29" i="8"/>
  <c r="G36" i="8"/>
  <c r="H35" i="8"/>
  <c r="G32" i="8"/>
  <c r="H34" i="8"/>
  <c r="G37" i="8"/>
  <c r="G38"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<sst xmlns="http://schemas.openxmlformats.org/spreadsheetml/2006/main" count="964" uniqueCount="658">
  <si>
    <t>AA</t>
  </si>
  <si>
    <t>BB</t>
  </si>
  <si>
    <t>CC</t>
  </si>
  <si>
    <t>DD</t>
  </si>
  <si>
    <t>EE</t>
  </si>
  <si>
    <t>FF</t>
  </si>
  <si>
    <t>Offset Formula - including use of Offset to create dynamic Data Validation Lists</t>
  </si>
  <si>
    <t>Structure of offset formula</t>
  </si>
  <si>
    <t>Installing a list created by an offset formula into a validation list</t>
  </si>
  <si>
    <t>Select Validation &gt; List</t>
  </si>
  <si>
    <t>Eg: =Offset(Sheet1!B5,1,1,5)   This would deliver the list AA to  EE in the above table, into  the validation list.</t>
  </si>
  <si>
    <t>=OFFSET(B4,1,1,4) generates the list below</t>
  </si>
  <si>
    <t>=OFFSET(B4,1,1,COUNTA($C:$C)) generates the list below</t>
  </si>
  <si>
    <t>..and it would add any further cells with letter that were added</t>
  </si>
  <si>
    <t>=Offset(reference cell, number of cells down, number of cells across, height of cell range, width of cell range)</t>
  </si>
  <si>
    <t>So, =Offset(B4, 1,1) would move one cell down and across from B4, to deliver the value  'AA')</t>
  </si>
  <si>
    <t>To refer to a range generated by an offset formula, you can write the address of the cell with the offset formula in it, followed by a hash. Eg: O5#</t>
  </si>
  <si>
    <t>Subtotal</t>
  </si>
  <si>
    <t xml:space="preserve">Normally, if you calculated the sum of the values in a column of data, filtering that column would make no difference. Subtotal however, calculates the sum, average etc. of only those values in a column which are still showing after you have filtered the data. </t>
  </si>
  <si>
    <t>Syntax: =Subtotal(function number, cell reference to column of data)</t>
  </si>
  <si>
    <t>The function number, is a number from 1 to 10, which determines whether the formula calculates the sum, average, standard deviation etc.</t>
  </si>
  <si>
    <t>AVERAGE</t>
  </si>
  <si>
    <t>COUNT (counts all cells with a number in them for all filtered items)</t>
  </si>
  <si>
    <t>COUNTA (counts all non-blank cells for all filtered items)</t>
  </si>
  <si>
    <t>MAX (determines the maximum of the filtered values)</t>
  </si>
  <si>
    <t>MIN (determines the minimum of the filtered values)</t>
  </si>
  <si>
    <t>PRODUCT (multiplies the value of each cell by each other, for all filtered items)</t>
  </si>
  <si>
    <t>STDEV (calculates standard deviation of the filtered items)</t>
  </si>
  <si>
    <t>STDEVP (calculates the standard deviation of the filtered items)</t>
  </si>
  <si>
    <t>SUM (adds the filtered items)</t>
  </si>
  <si>
    <t>VAR (calculates the variance of the filtered items)</t>
  </si>
  <si>
    <t>VARP (calculates the variance of the filtered items)</t>
  </si>
  <si>
    <r>
      <t>Eg: =Subtotal(</t>
    </r>
    <r>
      <rPr>
        <b/>
        <sz val="11"/>
        <color theme="1"/>
        <rFont val="Times New Roman"/>
        <family val="1"/>
      </rPr>
      <t>9</t>
    </r>
    <r>
      <rPr>
        <sz val="11"/>
        <color theme="1"/>
        <rFont val="Times New Roman"/>
        <family val="1"/>
      </rPr>
      <t xml:space="preserve">, A4:A10)  Returns the </t>
    </r>
    <r>
      <rPr>
        <b/>
        <sz val="11"/>
        <color theme="1"/>
        <rFont val="Times New Roman"/>
        <family val="1"/>
      </rPr>
      <t>sum</t>
    </r>
    <r>
      <rPr>
        <sz val="11"/>
        <color theme="1"/>
        <rFont val="Times New Roman"/>
        <family val="1"/>
      </rPr>
      <t xml:space="preserve"> of the cells showing after the column has been filtered.</t>
    </r>
  </si>
  <si>
    <r>
      <t xml:space="preserve">       =Subtotal(</t>
    </r>
    <r>
      <rPr>
        <b/>
        <sz val="11"/>
        <color theme="1"/>
        <rFont val="Times New Roman"/>
        <family val="1"/>
      </rPr>
      <t>3</t>
    </r>
    <r>
      <rPr>
        <sz val="11"/>
        <color theme="1"/>
        <rFont val="Times New Roman"/>
        <family val="1"/>
      </rPr>
      <t>, A4:A10) would give a count of all non-blank cells showing after the column was filtered.</t>
    </r>
  </si>
  <si>
    <t>These formulae refer to a table of data, then a particular column - which they will sum or average, then a small table which spells out the criteria for selecting the cells in the column to sum or average</t>
  </si>
  <si>
    <t>Banyule</t>
  </si>
  <si>
    <t>Australia</t>
  </si>
  <si>
    <t>Boroondara</t>
  </si>
  <si>
    <t>Italy</t>
  </si>
  <si>
    <t>Frankston</t>
  </si>
  <si>
    <t>England</t>
  </si>
  <si>
    <t>Municipality</t>
  </si>
  <si>
    <t>Country</t>
  </si>
  <si>
    <t>Age</t>
  </si>
  <si>
    <t>Population</t>
  </si>
  <si>
    <t xml:space="preserve">Criteria table </t>
  </si>
  <si>
    <t>&gt;4</t>
  </si>
  <si>
    <t>&lt;10</t>
  </si>
  <si>
    <t>&gt;61</t>
  </si>
  <si>
    <t>&lt;67</t>
  </si>
  <si>
    <t>So the Dbase formula looks like this:</t>
  </si>
  <si>
    <t>=DSUM(B12:E45,"Population",G14:J16)</t>
  </si>
  <si>
    <t>And the result is:</t>
  </si>
  <si>
    <t>The criteria table may specify all or some of the fields and can specify a field more than once</t>
  </si>
  <si>
    <t>You could use pull down lists to specify the age ranges</t>
  </si>
  <si>
    <t>&gt;=0</t>
  </si>
  <si>
    <t>&gt;=1</t>
  </si>
  <si>
    <t>&gt;=2</t>
  </si>
  <si>
    <t>&gt;=3</t>
  </si>
  <si>
    <t>&gt;=4</t>
  </si>
  <si>
    <t>&gt;=5</t>
  </si>
  <si>
    <t>&gt;=6</t>
  </si>
  <si>
    <t>&lt;=12</t>
  </si>
  <si>
    <t>&lt;=10</t>
  </si>
  <si>
    <t>&lt;=9</t>
  </si>
  <si>
    <t>&lt;=8</t>
  </si>
  <si>
    <t>&lt;=7</t>
  </si>
  <si>
    <t>&lt;=6</t>
  </si>
  <si>
    <t>&lt;=11</t>
  </si>
  <si>
    <t>Pull down lists select values, generate numbers, then Vlookup selects the value</t>
  </si>
  <si>
    <t>And the Dbase formula looks like this</t>
  </si>
  <si>
    <t>It has summed the population where ages are &gt;=1 and &lt;=10 years</t>
  </si>
  <si>
    <t>=DSUM(B12:E45,"Population",G37:H38)</t>
  </si>
  <si>
    <t>Dbase functions</t>
  </si>
  <si>
    <t>Birthplace</t>
  </si>
  <si>
    <t>Casey</t>
  </si>
  <si>
    <t>Myanmar</t>
  </si>
  <si>
    <t>&gt;=20</t>
  </si>
  <si>
    <t>&lt;=65</t>
  </si>
  <si>
    <t>Cardinia</t>
  </si>
  <si>
    <t>Greater Dandenong</t>
  </si>
  <si>
    <t>Maroondah</t>
  </si>
  <si>
    <t>Maribyrnong</t>
  </si>
  <si>
    <t>Criteria Table</t>
  </si>
  <si>
    <t>In this table, pull down lists were used to select each municipality</t>
  </si>
  <si>
    <t>Similarly, a single pulldown list was used to select a lower age range, then it was copied into the cells below it</t>
  </si>
  <si>
    <t>And the same for the upper age range</t>
  </si>
  <si>
    <t>Then a single pulldown list was used to select a birthplace in the top row. Cells below it simply copied that result</t>
  </si>
  <si>
    <t>The formula looked like this: =DSUM(the data table range,"Population",the criteria table range)</t>
  </si>
  <si>
    <t>or/ where the municipality is Boroondara, the country Italy and the ages &gt;61 and &lt;67</t>
  </si>
  <si>
    <t>the municipality is Banyule, the country Australia and where ages are &gt;4 and &lt;10</t>
  </si>
  <si>
    <t>…and…</t>
  </si>
  <si>
    <t>or..</t>
  </si>
  <si>
    <t>= Dsum(table range, field to sum, criteria table range)</t>
  </si>
  <si>
    <t>The structure of the formula is: DSum(Database table range, Field to sum or average etc, Criteria table range)</t>
  </si>
  <si>
    <t>Another Example using Pull-down lists to specify ranges</t>
  </si>
  <si>
    <t>&gt;=</t>
  </si>
  <si>
    <t>&lt;=</t>
  </si>
  <si>
    <t>or/</t>
  </si>
  <si>
    <t>Number</t>
  </si>
  <si>
    <t>Vlookup value</t>
  </si>
  <si>
    <r>
      <t xml:space="preserve">So expressions can be created by linking two cell addresses, or expressions, with </t>
    </r>
    <r>
      <rPr>
        <b/>
        <sz val="12"/>
        <color theme="1"/>
        <rFont val="Calibri"/>
        <family val="2"/>
        <scheme val="minor"/>
      </rPr>
      <t>&amp;</t>
    </r>
  </si>
  <si>
    <t>Count</t>
  </si>
  <si>
    <t>Counts cells with numbers</t>
  </si>
  <si>
    <t>Counta</t>
  </si>
  <si>
    <t>Counts cells with numbers or words</t>
  </si>
  <si>
    <t>Countblank</t>
  </si>
  <si>
    <t>Counts blank cells</t>
  </si>
  <si>
    <t>Fruit</t>
  </si>
  <si>
    <t>Britain</t>
  </si>
  <si>
    <t>Vietnam</t>
  </si>
  <si>
    <t>?</t>
  </si>
  <si>
    <t>&gt;</t>
  </si>
  <si>
    <t>=COUNT(H4:H15)</t>
  </si>
  <si>
    <t>=3</t>
  </si>
  <si>
    <t>=COUNTA(H4:H15)</t>
  </si>
  <si>
    <t>=COUNTBLANK(H4:H15)</t>
  </si>
  <si>
    <t>=9</t>
  </si>
  <si>
    <t>Functions include: DSum, DMax, DMin, DAverage, DCount, DCounta and DGet, which calculate the sum, maximum, minimum and average of the items in the field within the table that satisfy the criteria. DGet, selects the only item which satisfies the criteria.</t>
  </si>
  <si>
    <t>Countif</t>
  </si>
  <si>
    <t>Counts cells which meet certain criteria</t>
  </si>
  <si>
    <t>=COUNTIF(H4:H15,criteria)</t>
  </si>
  <si>
    <t xml:space="preserve">Counts cells that meet certain criteria: such as those with a particular word or phrase, or with numbers that meet a criterion (Eg: “&gt;3”, “&lt;45”, “Holden”, TRUE, 4, 1000, A4 etc). </t>
  </si>
  <si>
    <t xml:space="preserve">Words (eg: “Holden”) or expressions (eg: “&gt;5”) must be in inverted commas. Numbers and TRUE or FALSE need not be. </t>
  </si>
  <si>
    <t>If the word or number is in a cell, one may refer to the address of that cell, instead of the word or number. Eg: Countif(B5:B15,A1)</t>
  </si>
  <si>
    <t>Eg:</t>
  </si>
  <si>
    <t>=COUNTIF(H26:H37,3)</t>
  </si>
  <si>
    <t>Result</t>
  </si>
  <si>
    <t>=COUNTIF(H26:H37,"&gt;2")</t>
  </si>
  <si>
    <t>=COUNTIF(H26:H37,A30)</t>
  </si>
  <si>
    <t xml:space="preserve">If you want to search for a part of a word or phrase within a range of cells, such as ‘not achieved’, or ‘achie’ then add the wildcard ‘*’ before and after the letters or phrase. Eg: Countif(A1:A190,“*not achieved”) This would count all cells which contained text which ended with the phrase ‘not achieved’.
To combine signs and a cell reference     =Countif(A1:A100,“&gt;=”&amp;C20) </t>
  </si>
  <si>
    <t>=COUNTIF(H26:H37,"*alia")</t>
  </si>
  <si>
    <t>Sumif</t>
  </si>
  <si>
    <t>Works like Countif, but sums the values in a range</t>
  </si>
  <si>
    <t>=SUMIF(H40:H47,"&gt;3")</t>
  </si>
  <si>
    <t>=SUMIF(H51:H58,"&gt;5",I51:I58)</t>
  </si>
  <si>
    <t>Bit it can be used to select a column and criterion, but to specify a separate column whose values are to be summed in those rows which match the criterion</t>
  </si>
  <si>
    <t>=SUMIF(H51:H58,"*aly",I51:I58)</t>
  </si>
  <si>
    <t xml:space="preserve">Then  in the space for  the list, type in  an '=' then an offset formula which generates the list required, including the sheet reference for the reference cell. </t>
  </si>
  <si>
    <t>If you don’t specify the height and width of the cell range, these will be equal to 1</t>
  </si>
  <si>
    <r>
      <t xml:space="preserve">Similar expressions, combining numbers and '&gt;=' etc could be used with a  </t>
    </r>
    <r>
      <rPr>
        <b/>
        <sz val="11"/>
        <color theme="1"/>
        <rFont val="Calibri"/>
        <family val="2"/>
        <scheme val="minor"/>
      </rPr>
      <t>concatenate</t>
    </r>
    <r>
      <rPr>
        <sz val="11"/>
        <color theme="1"/>
        <rFont val="Calibri"/>
        <family val="2"/>
        <scheme val="minor"/>
      </rPr>
      <t xml:space="preserve"> formula</t>
    </r>
  </si>
  <si>
    <t>General functions</t>
  </si>
  <si>
    <t>=ABS(E5)</t>
  </si>
  <si>
    <t>Sign</t>
  </si>
  <si>
    <t>Gives the sign of a number, representing +ive as “+1” and –ive as “-1”.  Syntax: Sign(cell) or Sign(number)</t>
  </si>
  <si>
    <t>=SIGN(E11)</t>
  </si>
  <si>
    <t>Roundup, Rounddown, Round</t>
  </si>
  <si>
    <t>Round, Roundup, Roundown (Rounding a number up or down to a certain number of digits after decimal)</t>
  </si>
  <si>
    <t>Round numbers up/down, to a specified number of digits after or before the decimal point.</t>
  </si>
  <si>
    <t>=ROUNDUP(E19,1)</t>
  </si>
  <si>
    <t>=ROUNDUP(E21,0)</t>
  </si>
  <si>
    <t>=ROUNDUP(E23,-4)</t>
  </si>
  <si>
    <r>
      <t xml:space="preserve">Syntax: Roundup/down(number, number of digits after decimal point) A negative </t>
    </r>
    <r>
      <rPr>
        <sz val="9"/>
        <color theme="1"/>
        <rFont val="Times New Roman"/>
        <family val="1"/>
      </rPr>
      <t>number = rounds figures before the decimal point</t>
    </r>
  </si>
  <si>
    <t>Even/Odd</t>
  </si>
  <si>
    <r>
      <t xml:space="preserve">Rounds </t>
    </r>
    <r>
      <rPr>
        <b/>
        <sz val="11"/>
        <color theme="1"/>
        <rFont val="Calibri"/>
        <family val="2"/>
        <scheme val="minor"/>
      </rPr>
      <t>up</t>
    </r>
    <r>
      <rPr>
        <sz val="11"/>
        <color theme="1"/>
        <rFont val="Calibri"/>
        <family val="2"/>
        <scheme val="minor"/>
      </rPr>
      <t xml:space="preserve"> to the nearest odd or even integer  Eg: Even(4.56) = 6   Eg: Odd(4.56) = 5</t>
    </r>
  </si>
  <si>
    <t>Rand and Randbetween</t>
  </si>
  <si>
    <r>
      <t xml:space="preserve">=Rand(), will give a random number less than 1. </t>
    </r>
    <r>
      <rPr>
        <sz val="9"/>
        <color theme="1"/>
        <rFont val="Times New Roman"/>
        <family val="1"/>
      </rPr>
      <t>(if you want a higher number than 1, multiply by 10 or so)</t>
    </r>
  </si>
  <si>
    <t>=Randbetween(1,100) or Randbetween(A3,A4) gives a random number between two other numbers whenever sheet is recalculated.</t>
  </si>
  <si>
    <t>Both these formulae recalculate their random number whenever anything occurs on the sheet.</t>
  </si>
  <si>
    <t>=Randbetween(K34,K35)</t>
  </si>
  <si>
    <t>Shapes with Hyperlinks</t>
  </si>
  <si>
    <t>To insert a shape: Insert &gt; Shapes</t>
  </si>
  <si>
    <t>Right click &gt; Link. Then click on button at the left, labelled ‘Place in this Document’, and select the required sheet</t>
  </si>
  <si>
    <t>This shape is linked to another sheet</t>
  </si>
  <si>
    <t>in this file</t>
  </si>
  <si>
    <r>
      <rPr>
        <b/>
        <sz val="12"/>
        <color theme="1"/>
        <rFont val="Calibri"/>
        <family val="2"/>
        <scheme val="minor"/>
      </rPr>
      <t>Data Bars</t>
    </r>
    <r>
      <rPr>
        <sz val="11"/>
        <color theme="1"/>
        <rFont val="Calibri"/>
        <family val="2"/>
        <scheme val="minor"/>
      </rPr>
      <t xml:space="preserve"> - a simple way to depict values</t>
    </r>
  </si>
  <si>
    <t>Select 'Conditional Formatting' &gt; Data bars &gt; and type</t>
  </si>
  <si>
    <t>Then, with cursor still in the cell range, select 'Conditional Formatting' &gt; Data bars &gt; and 'More rules'</t>
  </si>
  <si>
    <t>In this instance, the maximum and</t>
  </si>
  <si>
    <t>minimum are set as numbers,</t>
  </si>
  <si>
    <t>with a range from 0 to 100</t>
  </si>
  <si>
    <t>Here's how it looks</t>
  </si>
  <si>
    <t>Time</t>
  </si>
  <si>
    <t>=Today()</t>
  </si>
  <si>
    <t>=YEAR(TODAY())</t>
  </si>
  <si>
    <t>=MONTH(TODAY())</t>
  </si>
  <si>
    <t>=DAY(TODAY())</t>
  </si>
  <si>
    <r>
      <rPr>
        <b/>
        <sz val="11"/>
        <color theme="1"/>
        <rFont val="Calibri"/>
        <family val="2"/>
        <scheme val="minor"/>
      </rPr>
      <t>Today</t>
    </r>
    <r>
      <rPr>
        <sz val="11"/>
        <color theme="1"/>
        <rFont val="Calibri"/>
        <family val="2"/>
        <scheme val="minor"/>
      </rPr>
      <t xml:space="preserve"> - gives the current date</t>
    </r>
  </si>
  <si>
    <t>=Now()</t>
  </si>
  <si>
    <t>=YEAR(Now())</t>
  </si>
  <si>
    <t>=MONTH(Now())</t>
  </si>
  <si>
    <t>=DAY(Now())</t>
  </si>
  <si>
    <r>
      <rPr>
        <b/>
        <sz val="11"/>
        <color theme="1"/>
        <rFont val="Calibri"/>
        <family val="2"/>
        <scheme val="minor"/>
      </rPr>
      <t>Now</t>
    </r>
    <r>
      <rPr>
        <sz val="11"/>
        <color theme="1"/>
        <rFont val="Calibri"/>
        <family val="2"/>
        <scheme val="minor"/>
      </rPr>
      <t xml:space="preserve"> - does the same thing</t>
    </r>
  </si>
  <si>
    <t>The month and days are expressed as numbers representing the place of the month within the year (thus January = 1) and the place of the day in the month. However a lookup or other function could then be used to replace the number with the name of the relevant month or day.</t>
  </si>
  <si>
    <t xml:space="preserve">When you type in ‘=today()’ to obtain the present date, the computer treats this date as a number representing the number of days elapsed in the century. </t>
  </si>
  <si>
    <t>Date</t>
  </si>
  <si>
    <t>=DATE(2022,5,5)</t>
  </si>
  <si>
    <t>Adding or Subtracting Dates and Times</t>
  </si>
  <si>
    <t>=DATE(2022,5,5)-30</t>
  </si>
  <si>
    <t>(This is the number of days since Jan 1, 1990)</t>
  </si>
  <si>
    <t>(number format)</t>
  </si>
  <si>
    <t>It can be formatted as a date, rather than a number</t>
  </si>
  <si>
    <t>Chose any date format for the two cells which will hold the dates. The cell with the formula (adding or subtracting these dates) may be formatted as a number, not a date. It will express the difference or sum in days.</t>
  </si>
  <si>
    <t xml:space="preserve">Alpine </t>
  </si>
  <si>
    <t xml:space="preserve">Ararat </t>
  </si>
  <si>
    <t xml:space="preserve">Ballarat </t>
  </si>
  <si>
    <t xml:space="preserve">Banyule </t>
  </si>
  <si>
    <t xml:space="preserve">Bass Coast </t>
  </si>
  <si>
    <t xml:space="preserve">Baw Baw </t>
  </si>
  <si>
    <t xml:space="preserve">Bayside </t>
  </si>
  <si>
    <t xml:space="preserve">Benalla </t>
  </si>
  <si>
    <t xml:space="preserve">Boroondara </t>
  </si>
  <si>
    <t xml:space="preserve">Brimbank </t>
  </si>
  <si>
    <t xml:space="preserve">Buloke </t>
  </si>
  <si>
    <t xml:space="preserve">Campaspe </t>
  </si>
  <si>
    <t xml:space="preserve">Cardinia </t>
  </si>
  <si>
    <t xml:space="preserve">Casey </t>
  </si>
  <si>
    <t xml:space="preserve">Central Goldfields </t>
  </si>
  <si>
    <t xml:space="preserve">Colac-Otway </t>
  </si>
  <si>
    <t xml:space="preserve">Corangamite </t>
  </si>
  <si>
    <t>Index</t>
  </si>
  <si>
    <t>=INDEX(E15:E31,5)</t>
  </si>
  <si>
    <t>Index examines a column, row or array of data and gives the value of the cell situated a specified number of cells from the top of the column (or left of the row).</t>
  </si>
  <si>
    <t>Eg: =INDEX(E15:E31,5) examines the column E15:E31 and return the value contained in the firth cell from the top: Bass Coast</t>
  </si>
  <si>
    <t>=INDEX(E15:H31,5,4)</t>
  </si>
  <si>
    <r>
      <t xml:space="preserve"> =Index(array, row, [column]). Returns the value in that cell in the specified row </t>
    </r>
    <r>
      <rPr>
        <sz val="9"/>
        <color theme="1"/>
        <rFont val="Calibri"/>
        <family val="2"/>
        <scheme val="minor"/>
      </rPr>
      <t>[&amp; column, if specified]</t>
    </r>
    <r>
      <rPr>
        <sz val="11"/>
        <color theme="1"/>
        <rFont val="Calibri"/>
        <family val="2"/>
        <scheme val="minor"/>
      </rPr>
      <t>.</t>
    </r>
  </si>
  <si>
    <t>Eg: =Index(A4:C25,4,2) would examine array E18:H34 and return the value in the fourth row from the top and second column from the left.</t>
  </si>
  <si>
    <t xml:space="preserve">Lookup or other formulae could be used to generate the numbers denoting the </t>
  </si>
  <si>
    <t>number of rows down or columns across</t>
  </si>
  <si>
    <t xml:space="preserve">Syntax: =Match(Value to locate, Address of column/row, match type).  </t>
  </si>
  <si>
    <t xml:space="preserve">Match types: </t>
  </si>
  <si>
    <t>0: seeks exact value</t>
  </si>
  <si>
    <t>list may be in any order</t>
  </si>
  <si>
    <t>1: seeks largest value less than or equal to value</t>
  </si>
  <si>
    <t>list must be in ascending order</t>
  </si>
  <si>
    <t>-1: seeks smallest value greater than or equal to value</t>
  </si>
  <si>
    <r>
      <t>Match looks for a particular value in a column – which may be in any order – and returns the number representing the sequential position of the cell where it was found (eg: the 3</t>
    </r>
    <r>
      <rPr>
        <vertAlign val="superscript"/>
        <sz val="11"/>
        <color theme="1"/>
        <rFont val="Calibri"/>
        <family val="2"/>
        <scheme val="minor"/>
      </rPr>
      <t>rd</t>
    </r>
    <r>
      <rPr>
        <sz val="11"/>
        <color theme="1"/>
        <rFont val="Calibri"/>
        <family val="2"/>
        <scheme val="minor"/>
      </rPr>
      <t xml:space="preserve"> cell from the top of the column).</t>
    </r>
  </si>
  <si>
    <t>List must be in descending order</t>
  </si>
  <si>
    <t xml:space="preserve">Value may be words, numbers, or cell address containing a formula which generates some value: Eg: "car", 3, "*alia", A4 etc.  </t>
  </si>
  <si>
    <t>=MATCH("Baw Baw", I15:I26,0)</t>
  </si>
  <si>
    <t>=MATCH(9,J15:J26)</t>
  </si>
  <si>
    <t>Match</t>
  </si>
  <si>
    <r>
      <rPr>
        <b/>
        <sz val="11"/>
        <color theme="1"/>
        <rFont val="Calibri"/>
        <family val="2"/>
        <scheme val="minor"/>
      </rPr>
      <t xml:space="preserve">Using a Match formula to sort values in order </t>
    </r>
    <r>
      <rPr>
        <sz val="11"/>
        <color theme="1"/>
        <rFont val="Calibri"/>
        <family val="2"/>
        <scheme val="minor"/>
      </rPr>
      <t>- for a chart</t>
    </r>
  </si>
  <si>
    <t>Adding a small, but different value to each number, so no two numbers can be identical</t>
  </si>
  <si>
    <t>Ranking the numbers</t>
  </si>
  <si>
    <t>Vlookup and Match formula</t>
  </si>
  <si>
    <t>=VLOOKUP(MATCH(B29,F$29:F$40,0),$B$29:$D$40,2)</t>
  </si>
  <si>
    <t>Rank</t>
  </si>
  <si>
    <t>Gives the sequential rank of a value</t>
  </si>
  <si>
    <t>=RANK(5,H83:H89)</t>
  </si>
  <si>
    <t>RANK(5,H83:H89)</t>
  </si>
  <si>
    <t>Exact</t>
  </si>
  <si>
    <t>=EXACT(text1, text2)</t>
  </si>
  <si>
    <t>Determines if two pieces of text are identical</t>
  </si>
  <si>
    <t>Useful for identifying a single example of each type of text in a column, where there are many repetitions</t>
  </si>
  <si>
    <t>Greece</t>
  </si>
  <si>
    <t>China</t>
  </si>
  <si>
    <t>Here, the exact formula helps identify</t>
  </si>
  <si>
    <t>one example of each country in the list</t>
  </si>
  <si>
    <t>The list could be later coped &gt;paste special&gt;</t>
  </si>
  <si>
    <t>sorted by the second column, to assemble a</t>
  </si>
  <si>
    <t>list featuring a single instance of each</t>
  </si>
  <si>
    <t>nation in the list</t>
  </si>
  <si>
    <t>Upper, Lower and Proper</t>
  </si>
  <si>
    <t>These format text, into upper, lower or proper case</t>
  </si>
  <si>
    <t>the chickens are loose</t>
  </si>
  <si>
    <t>Upper</t>
  </si>
  <si>
    <t>Lower</t>
  </si>
  <si>
    <t>Proper</t>
  </si>
  <si>
    <t>=UPPER(H110)</t>
  </si>
  <si>
    <t>=LOWER(H110)</t>
  </si>
  <si>
    <t>=PROPER(H110)</t>
  </si>
  <si>
    <t>Hayden Brown: 3165</t>
  </si>
  <si>
    <t>Jeff Anglel: 3543</t>
  </si>
  <si>
    <t>William Pitt: 3412</t>
  </si>
  <si>
    <t>Mary Saunders: 3689</t>
  </si>
  <si>
    <t>=MID(H117,FIND(":",H117)+2,100)</t>
  </si>
  <si>
    <t>=Mid(text, sequential position of the first letter to extract, number of letters)</t>
  </si>
  <si>
    <t>It requires that you identify the cell with the text, then the sequential position of the first letter to extract, then the minimum length of the string to extract</t>
  </si>
  <si>
    <r>
      <rPr>
        <b/>
        <sz val="12"/>
        <color theme="1"/>
        <rFont val="Calibri"/>
        <family val="2"/>
        <scheme val="minor"/>
      </rPr>
      <t>Mid</t>
    </r>
    <r>
      <rPr>
        <sz val="11"/>
        <color theme="1"/>
        <rFont val="Calibri"/>
        <family val="2"/>
        <scheme val="minor"/>
      </rPr>
      <t xml:space="preserve"> - selects a portion of text from the middle of a longer string of text</t>
    </r>
  </si>
  <si>
    <r>
      <rPr>
        <b/>
        <sz val="11"/>
        <color theme="1"/>
        <rFont val="Calibri"/>
        <family val="2"/>
        <scheme val="minor"/>
      </rPr>
      <t>Replace</t>
    </r>
    <r>
      <rPr>
        <sz val="11"/>
        <color theme="1"/>
        <rFont val="Calibri"/>
        <family val="2"/>
        <scheme val="minor"/>
      </rPr>
      <t xml:space="preserve"> - same as Mid, but it replaces that text with another</t>
    </r>
  </si>
  <si>
    <t>=REPLACE(text, sequential position of first letter to extract, number of letters to extract, "text to replace it with")</t>
  </si>
  <si>
    <t>Jeff Anglel, certificate 3543</t>
  </si>
  <si>
    <t>William Pitt, higher schooling 3412</t>
  </si>
  <si>
    <t>Mary Saunders, PhD 3689</t>
  </si>
  <si>
    <t>Hayden Brown, degree 3165</t>
  </si>
  <si>
    <t>=MID(H125,FIND(",",H125)+2,FIND("3",H125)-3-FIND(",",H125))</t>
  </si>
  <si>
    <t>Len</t>
  </si>
  <si>
    <t>Calculates the number of text characters (including spaces) in a cell.</t>
  </si>
  <si>
    <t>Syntax: Len(cell with text in it)  Eg: If A1= ‘Testing”     Len(A1)=7</t>
  </si>
  <si>
    <t>Len (counting characters in text)</t>
  </si>
  <si>
    <t>This is a sample of the text</t>
  </si>
  <si>
    <t>=LEN(G138)</t>
  </si>
  <si>
    <t>Rows or Columns</t>
  </si>
  <si>
    <t>Rows (or Columns) (Counting the number of rows or columns)</t>
  </si>
  <si>
    <t xml:space="preserve">Calculates number of rows within the cell range specified. </t>
  </si>
  <si>
    <r>
      <t>Rows(A1:A5)=5</t>
    </r>
    <r>
      <rPr>
        <sz val="9"/>
        <color theme="1"/>
        <rFont val="Times New Roman"/>
        <family val="1"/>
      </rPr>
      <t>.</t>
    </r>
  </si>
  <si>
    <t>Columns(A1:F1)=6</t>
  </si>
  <si>
    <t>Cheese</t>
  </si>
  <si>
    <t>Dairy</t>
  </si>
  <si>
    <t>Apples</t>
  </si>
  <si>
    <t>Meat</t>
  </si>
  <si>
    <t>Protein</t>
  </si>
  <si>
    <t>=ROWS(G146:G148)</t>
  </si>
  <si>
    <t>=COLUMNS(G146:I148)</t>
  </si>
  <si>
    <t>Row or Column</t>
  </si>
  <si>
    <t>Row (or Column) (Giving the actual row or column number)</t>
  </si>
  <si>
    <t xml:space="preserve">Gives the row or column number for the cell specified. </t>
  </si>
  <si>
    <t>=COLUMN(G155)</t>
  </si>
  <si>
    <t>=ROW(G154)</t>
  </si>
  <si>
    <t>Locates a letter or group of letters within a piece of text and returns the number representing the sequential position of the character within the cell.</t>
  </si>
  <si>
    <t xml:space="preserve">Eg: =Find(“J”,”OUIJA”,1) would return 4.  </t>
  </si>
  <si>
    <t>Eg: If A4 = Sammson,  =FIND(“S”, A4, 4) returns 5.</t>
  </si>
  <si>
    <r>
      <t xml:space="preserve">Find </t>
    </r>
    <r>
      <rPr>
        <sz val="11"/>
        <color theme="1"/>
        <rFont val="Times New Roman"/>
        <family val="1"/>
      </rPr>
      <t>(case sensitive and does not allow wildcards)</t>
    </r>
  </si>
  <si>
    <r>
      <t xml:space="preserve">=Find(Find text, within text, start at number) </t>
    </r>
    <r>
      <rPr>
        <i/>
        <sz val="10"/>
        <color theme="1"/>
        <rFont val="Times New Roman"/>
        <family val="1"/>
      </rPr>
      <t>(if start at number is omitted it is assumed to be 1)</t>
    </r>
  </si>
  <si>
    <t>=FIND("eese",G165)</t>
  </si>
  <si>
    <t>This function is useful when nested in 'Mid' functions</t>
  </si>
  <si>
    <t>George White, East Bentleigh 3165</t>
  </si>
  <si>
    <t>=MID(H142,FIND(",",H142)+2,LEN(H142)-FIND(",",H142)-6)</t>
  </si>
  <si>
    <t>And OR</t>
  </si>
  <si>
    <t>Combines conditions which may be required for another function</t>
  </si>
  <si>
    <t>Milk</t>
  </si>
  <si>
    <t>IF(OR(G175="Milk",H175="Dairy"),"OK","")</t>
  </si>
  <si>
    <t>Vlookup</t>
  </si>
  <si>
    <t xml:space="preserve">Looks up the left hand side of a table or array of data, to find a specific value, then looks up the value in the nth column as specified in the formula. </t>
  </si>
  <si>
    <t>The value may be a number, or it may be a word. If it is a word, the word must be in quotation marks in the formula.</t>
  </si>
  <si>
    <t>Humanitarian</t>
  </si>
  <si>
    <t>Family</t>
  </si>
  <si>
    <t>Skilled</t>
  </si>
  <si>
    <t>Total</t>
  </si>
  <si>
    <t>Not Recorded</t>
  </si>
  <si>
    <t>Alpine</t>
  </si>
  <si>
    <t>Ararat</t>
  </si>
  <si>
    <t>Ballarat</t>
  </si>
  <si>
    <t>Bass Coast</t>
  </si>
  <si>
    <t>Baw Baw</t>
  </si>
  <si>
    <t>Bayside</t>
  </si>
  <si>
    <t>Benalla</t>
  </si>
  <si>
    <t>Brimbank</t>
  </si>
  <si>
    <t>VLOOKUP("Ballarat",G8:K19,3)</t>
  </si>
  <si>
    <t>VLOOKUP(4,F9:K19,4)</t>
  </si>
  <si>
    <t>VLOOKUP(C13,F9:K19,C15+2)</t>
  </si>
  <si>
    <t>Or/ Using pulldown lists to generate numbers</t>
  </si>
  <si>
    <t>The same could be used to select a column of data</t>
  </si>
  <si>
    <t>VLOOKUP(F9,$F$9:$K$19,$N$14+2)</t>
  </si>
  <si>
    <r>
      <t>Vlookup(value to find in left hand column, table, n</t>
    </r>
    <r>
      <rPr>
        <vertAlign val="superscript"/>
        <sz val="11"/>
        <color theme="1"/>
        <rFont val="Times New Roman"/>
        <family val="1"/>
      </rPr>
      <t>th</t>
    </r>
    <r>
      <rPr>
        <sz val="11"/>
        <color theme="1"/>
        <rFont val="Times New Roman"/>
        <family val="1"/>
      </rPr>
      <t xml:space="preserve"> column from the left of this table)</t>
    </r>
  </si>
  <si>
    <t>Using Vlookup and Match to create a table and chart of the latest 12 months' data</t>
  </si>
  <si>
    <t></t>
  </si>
  <si>
    <t>IF(ISBLANK(H30),0,"")</t>
  </si>
  <si>
    <t>MATCH(0,H28:AG28)</t>
  </si>
  <si>
    <t></t>
  </si>
  <si>
    <t>The match function tells us how many columns</t>
  </si>
  <si>
    <t></t>
  </si>
  <si>
    <t>First, a pull down list selects the row of data required</t>
  </si>
  <si>
    <t>This formula looks up the row selected above, in the table above</t>
  </si>
  <si>
    <t>then moves across by 2 (the cols with guide nos. and municipalities)</t>
  </si>
  <si>
    <t>plus the match number, minus the number of columns required</t>
  </si>
  <si>
    <t>to move back to the months in the year before the date of that</t>
  </si>
  <si>
    <t>column</t>
  </si>
  <si>
    <t>until we reach the first column with a zero</t>
  </si>
  <si>
    <t>VLOOKUP($D$42+1,$F$29:$AG$40,2+MATCH("empty",$H$28:$AG$28,0)-H$44)</t>
  </si>
  <si>
    <t>A</t>
  </si>
  <si>
    <t>To calculate averages, sums etc. from a growing table</t>
  </si>
  <si>
    <t>B</t>
  </si>
  <si>
    <t>How to create a chart to display a variable range of data</t>
  </si>
  <si>
    <t>Type in formula, selecting the required range, as per normal</t>
  </si>
  <si>
    <t>1. Scrollbar delivers a value (top cell, below)</t>
  </si>
  <si>
    <t>Weight</t>
  </si>
  <si>
    <t>Height</t>
  </si>
  <si>
    <t>Workload</t>
  </si>
  <si>
    <t>Other</t>
  </si>
  <si>
    <t>2. Value appears at the top of the column, and succeeding values are calculated by adding 1 with each row down</t>
  </si>
  <si>
    <t>3. Offset formula starts at cell C6, and selects a value in same column but down by the number shown on left</t>
  </si>
  <si>
    <t>Formula is either: =OFFSET(C$6,I6,,)   or   OFFSET(Table2[[#Headers],[Date]],I6,0)</t>
  </si>
  <si>
    <t>4. Vlookup formula looks up the date selected by the offset formula, within the table, then selects value in the adjacent column</t>
  </si>
  <si>
    <t>5. Chart below, graphs the results</t>
  </si>
  <si>
    <t>Remember:</t>
  </si>
  <si>
    <t>To create a named table: Select area of table &gt; Control T</t>
  </si>
  <si>
    <t>To create a named range: Control F3</t>
  </si>
  <si>
    <t>To paste an existing named range (eg: into a validation dialogue box): F3</t>
  </si>
  <si>
    <t>Referring to table</t>
  </si>
  <si>
    <t>Just referring to cells</t>
  </si>
  <si>
    <t>Column1</t>
  </si>
  <si>
    <t>Smith</t>
  </si>
  <si>
    <t>Using a Validation List then an Offset and Match formula to select any range of  labels and values for a chart</t>
  </si>
  <si>
    <t>January</t>
  </si>
  <si>
    <t>Smithrange</t>
  </si>
  <si>
    <t>Daterange</t>
  </si>
  <si>
    <t>February</t>
  </si>
  <si>
    <t>March</t>
  </si>
  <si>
    <t>April</t>
  </si>
  <si>
    <t>A validation list is set up with formula =OFFSET($A$1,1,0,COUNTA($A:$A)-1)</t>
  </si>
  <si>
    <t>Number of venues</t>
  </si>
  <si>
    <t>Losses</t>
  </si>
  <si>
    <t>Number of EGMs</t>
  </si>
  <si>
    <t xml:space="preserve">Name </t>
  </si>
  <si>
    <t xml:space="preserve">Region </t>
  </si>
  <si>
    <t>LGA Name</t>
  </si>
  <si>
    <t xml:space="preserve">Venue type </t>
  </si>
  <si>
    <t>Expenditure 2020/21</t>
  </si>
  <si>
    <t>EGM Numbers as at 
31 December 2020</t>
  </si>
  <si>
    <t>Abruzzo Club</t>
  </si>
  <si>
    <t>Metro</t>
  </si>
  <si>
    <t>Moreland</t>
  </si>
  <si>
    <t>Club</t>
  </si>
  <si>
    <t>Aces Sporting Club</t>
  </si>
  <si>
    <t>Albion Charles Hotel</t>
  </si>
  <si>
    <t>Darebin</t>
  </si>
  <si>
    <t>Hotel</t>
  </si>
  <si>
    <t>Albion Hotel</t>
  </si>
  <si>
    <t>Alexandra House Sports Club</t>
  </si>
  <si>
    <t>Southern Grampians</t>
  </si>
  <si>
    <t>All Seasons International Hotel Bendigo</t>
  </si>
  <si>
    <t>Greater Bendigo</t>
  </si>
  <si>
    <t>Altona Bowling Club</t>
  </si>
  <si>
    <t>Hobsons Bay</t>
  </si>
  <si>
    <t>Altona RSL</t>
  </si>
  <si>
    <t>Altona Sports Club</t>
  </si>
  <si>
    <t>American Hotel</t>
  </si>
  <si>
    <t>Campaspe</t>
  </si>
  <si>
    <t>Amstel Golf Club</t>
  </si>
  <si>
    <t>Angel Tavern</t>
  </si>
  <si>
    <t>Stonnington</t>
  </si>
  <si>
    <t>Anglesea Golf Club</t>
  </si>
  <si>
    <t>Surf Coast</t>
  </si>
  <si>
    <t>Ararat RSL</t>
  </si>
  <si>
    <t>Ashley Hotel</t>
  </si>
  <si>
    <t>Austral Hotel</t>
  </si>
  <si>
    <t>Colac-Otway</t>
  </si>
  <si>
    <t>Australian Croatian National Hall</t>
  </si>
  <si>
    <t>Greater Geelong</t>
  </si>
  <si>
    <t>Bacchus Marsh Golf Club</t>
  </si>
  <si>
    <t>Moorabool</t>
  </si>
  <si>
    <t>Bairnsdale Bowls Club</t>
  </si>
  <si>
    <t>East Gippsland</t>
  </si>
  <si>
    <t>Bairnsdale Club</t>
  </si>
  <si>
    <t>Bairnsdale RSL</t>
  </si>
  <si>
    <t>Bairnsdale Sporting And Convention Centr</t>
  </si>
  <si>
    <t>Bakers Arms Hotel</t>
  </si>
  <si>
    <t>Yarra</t>
  </si>
  <si>
    <t>Balaclava Hotel</t>
  </si>
  <si>
    <t>Port Phillip</t>
  </si>
  <si>
    <t>SUBTOTAL(3,C26:C49)</t>
  </si>
  <si>
    <t>SUBTOTAL(9,G26:G49)</t>
  </si>
  <si>
    <t>SUBTOTAL(9,H26:H49)</t>
  </si>
  <si>
    <t>An example of subtotals in a filtered table</t>
  </si>
  <si>
    <t>Counting Functions and Sumif</t>
  </si>
  <si>
    <t>Formulas &gt; Define name.</t>
  </si>
  <si>
    <t xml:space="preserve">and adjust the range if necessary </t>
  </si>
  <si>
    <t>Here you can select a range, then delete or edit it</t>
  </si>
  <si>
    <t>Naming Ranges</t>
  </si>
  <si>
    <r>
      <rPr>
        <b/>
        <sz val="11"/>
        <color theme="1"/>
        <rFont val="Calibri"/>
        <family val="2"/>
        <scheme val="minor"/>
      </rPr>
      <t>To manage names,</t>
    </r>
    <r>
      <rPr>
        <sz val="11"/>
        <color theme="1"/>
        <rFont val="Calibri"/>
        <family val="2"/>
        <scheme val="minor"/>
      </rPr>
      <t xml:space="preserve"> goto Formulas &gt; Name manager</t>
    </r>
  </si>
  <si>
    <r>
      <rPr>
        <b/>
        <sz val="11"/>
        <color theme="1"/>
        <rFont val="Calibri"/>
        <family val="2"/>
        <scheme val="minor"/>
      </rPr>
      <t>To use the name in a formula</t>
    </r>
    <r>
      <rPr>
        <sz val="11"/>
        <color theme="1"/>
        <rFont val="Calibri"/>
        <family val="2"/>
        <scheme val="minor"/>
      </rPr>
      <t>, type =Sum(name) etc  When the name of the range is typed in, a blue line will form around this range</t>
    </r>
  </si>
  <si>
    <t>Max and Min</t>
  </si>
  <si>
    <t>These select the maximum or minimum value from a range</t>
  </si>
  <si>
    <t>=MAX(range)</t>
  </si>
  <si>
    <t>=MAX(G182:G188)</t>
  </si>
  <si>
    <t>=MIN(G182:G188)</t>
  </si>
  <si>
    <t>Small and Large</t>
  </si>
  <si>
    <t>=Small(range,nth smallest)</t>
  </si>
  <si>
    <t>Returns nth smallest or nth largest value from a range</t>
  </si>
  <si>
    <t>=SMALL(G191:G197,3)</t>
  </si>
  <si>
    <t>=LARGE(G191:G197,2)</t>
  </si>
  <si>
    <t>Bosnia</t>
  </si>
  <si>
    <t>Data Bar Chart in a Single Cells</t>
  </si>
  <si>
    <t>Rept repeats a value, or symbol in this case, by the number of times shown in the second part of the formula</t>
  </si>
  <si>
    <t>Type =REPT("|",the value to be depicted in your chart) into the cell</t>
  </si>
  <si>
    <t>This symbol, |,called the 'pipe', is created by Alt 124 on the numeric keyboard</t>
  </si>
  <si>
    <t>The second part of the formula is the value in the column to the left, which is the number of times the pipe is to be repeated</t>
  </si>
  <si>
    <t>=REPT("|",N64) - gives the result in cell O61, below</t>
  </si>
  <si>
    <t xml:space="preserve">Select a cell range for your bar, including </t>
  </si>
  <si>
    <t>the value you want to chart, and merge them</t>
  </si>
  <si>
    <t>Changing the number in the bar alters its appearance correspondingly</t>
  </si>
  <si>
    <t>Formulas &gt; Use in Formula &gt; Paste names</t>
  </si>
  <si>
    <t>DateRange</t>
  </si>
  <si>
    <t>DateRangeX</t>
  </si>
  <si>
    <t>HancockSeries</t>
  </si>
  <si>
    <t>JonesSeries</t>
  </si>
  <si>
    <t>MichaelsSeries</t>
  </si>
  <si>
    <t>MonthLabels</t>
  </si>
  <si>
    <t>='Chart &amp; changing values'!$B$1 MATCH('Chart &amp; changing values'!$E$3,'Chart &amp; changing values'!$A:$A,0)-1 0 MATCH('Chart &amp; changing values'!$E$4,'Chart &amp; changing values'!$A:$A,0) 'Chart &amp; changing values'!$E$3 'Chart &amp; changing values'!</t>
  </si>
  <si>
    <t>=OFFSET('C:\~ Work\~ Tables 2021\[T1066.xlsx]Sheet1'!$B$3,'C:\~ Work\~ Tables 2021\[T1066.xlsx]Sheet1'!$N$5,0,'C:\~ Work\~ Tables 2021\[T1066.xlsx]Sheet1'!$N$11-'C:\~ Work\~ Tables 2021\[T1066.xlsx]Sheet1'!$N$5+1)</t>
  </si>
  <si>
    <t>=OFFSET('Chart &amp; changing values'!#REF!,0,0,COUNTA('Chart &amp; changing values'!#REF!)-1)</t>
  </si>
  <si>
    <t>=OFFSET('Chart &amp; changing values'!#REF!,0,0,COUNTA('Chart &amp; changing values'!$C:$C)-1)</t>
  </si>
  <si>
    <t>=OFFSET('Chart &amp; changing values'!$B$2,0,0,COUNTA('Chart &amp; changing values'!$A:$A))</t>
  </si>
  <si>
    <t>And a list like this will appear</t>
  </si>
  <si>
    <r>
      <rPr>
        <b/>
        <sz val="11"/>
        <color theme="1"/>
        <rFont val="Calibri"/>
        <family val="2"/>
        <scheme val="minor"/>
      </rPr>
      <t>To paste a list of names</t>
    </r>
    <r>
      <rPr>
        <sz val="11"/>
        <color theme="1"/>
        <rFont val="Calibri"/>
        <family val="2"/>
        <scheme val="minor"/>
      </rPr>
      <t xml:space="preserve"> - to view or check</t>
    </r>
  </si>
  <si>
    <t xml:space="preserve">select the scope (workbook or sheet) </t>
  </si>
  <si>
    <t xml:space="preserve">Then in the dialogue box, type the name of your range </t>
  </si>
  <si>
    <t>and this dialogue box appears</t>
  </si>
  <si>
    <r>
      <rPr>
        <b/>
        <sz val="11"/>
        <color theme="1"/>
        <rFont val="Calibri"/>
        <family val="2"/>
        <scheme val="minor"/>
      </rPr>
      <t>or/</t>
    </r>
    <r>
      <rPr>
        <sz val="11"/>
        <color theme="1"/>
        <rFont val="Calibri"/>
        <family val="2"/>
        <scheme val="minor"/>
      </rPr>
      <t xml:space="preserve"> press F33</t>
    </r>
  </si>
  <si>
    <t xml:space="preserve">To add or delete items from the Quick access toolbar, </t>
  </si>
  <si>
    <t xml:space="preserve">           icon</t>
  </si>
  <si>
    <t>and it will appear below the item you have selected in the right-hand list</t>
  </si>
  <si>
    <r>
      <rPr>
        <sz val="11"/>
        <color theme="1"/>
        <rFont val="Wingdings"/>
        <charset val="2"/>
      </rPr>
      <t xml:space="preserve"> </t>
    </r>
    <r>
      <rPr>
        <sz val="11"/>
        <color theme="1"/>
        <rFont val="Calibri"/>
        <family val="2"/>
        <scheme val="minor"/>
      </rPr>
      <t xml:space="preserve">Proceed to the end of the toolbar, click on the </t>
    </r>
  </si>
  <si>
    <r>
      <rPr>
        <sz val="11"/>
        <color theme="1"/>
        <rFont val="Wingdings"/>
        <charset val="2"/>
      </rPr>
      <t xml:space="preserve"> </t>
    </r>
    <r>
      <rPr>
        <sz val="11"/>
        <color theme="1"/>
        <rFont val="Calibri"/>
        <family val="2"/>
        <scheme val="minor"/>
      </rPr>
      <t>Select 'All commands' or those of a particular category</t>
    </r>
  </si>
  <si>
    <r>
      <rPr>
        <sz val="11"/>
        <color theme="1"/>
        <rFont val="Wingdings"/>
        <charset val="2"/>
      </rPr>
      <t xml:space="preserve"> </t>
    </r>
    <r>
      <rPr>
        <sz val="11"/>
        <color theme="1"/>
        <rFont val="Calibri"/>
        <family val="2"/>
        <scheme val="minor"/>
      </rPr>
      <t>Then select the item you want, from the left hand list, click 'Add' in the middle,</t>
    </r>
  </si>
  <si>
    <t>Items for the Quick Access Toolbar</t>
  </si>
  <si>
    <t>Validation</t>
  </si>
  <si>
    <t>Creates a pulldown list which enables you to select from a list of words - usually categories.</t>
  </si>
  <si>
    <t>This is useful for creating a database of information, or tabulating a survey, where you want to chose from a limited range of words, and ensure they are spelled consistently, every time</t>
  </si>
  <si>
    <t>Cambodia</t>
  </si>
  <si>
    <t xml:space="preserve">Click on the validation icon </t>
  </si>
  <si>
    <t>In the dialogue box, select 'List''</t>
  </si>
  <si>
    <t>Select the cell where you want the validation list to appear</t>
  </si>
  <si>
    <t>Then select the location of the list</t>
  </si>
  <si>
    <t>The yellow cell below, enables you to select from the items in the list shown</t>
  </si>
  <si>
    <t>which is cells E21:E26, below</t>
  </si>
  <si>
    <t>Select the validated cell and paste into other cells</t>
  </si>
  <si>
    <r>
      <rPr>
        <b/>
        <sz val="11"/>
        <color theme="1"/>
        <rFont val="Calibri"/>
        <family val="2"/>
        <scheme val="minor"/>
      </rPr>
      <t>To copy validated cells</t>
    </r>
    <r>
      <rPr>
        <sz val="11"/>
        <color theme="1"/>
        <rFont val="Calibri"/>
        <family val="2"/>
        <scheme val="minor"/>
      </rPr>
      <t>, so as to create a column of similarly validated cells…</t>
    </r>
  </si>
  <si>
    <r>
      <rPr>
        <b/>
        <sz val="11"/>
        <color theme="1"/>
        <rFont val="Calibri"/>
        <family val="2"/>
        <scheme val="minor"/>
      </rPr>
      <t>To delete validated cells</t>
    </r>
    <r>
      <rPr>
        <sz val="11"/>
        <color theme="1"/>
        <rFont val="Calibri"/>
        <family val="2"/>
        <scheme val="minor"/>
      </rPr>
      <t>, select the cell, click on validation icon and select 'Any value'</t>
    </r>
  </si>
  <si>
    <t>To add a range into the validation list</t>
  </si>
  <si>
    <t xml:space="preserve">Create a list of names. </t>
  </si>
  <si>
    <t>Select it, then Formulas &gt; Define range &gt; in dialogue box give the range a name</t>
  </si>
  <si>
    <t>and paste the range name into the Source box</t>
  </si>
  <si>
    <r>
      <rPr>
        <b/>
        <sz val="11"/>
        <color theme="1"/>
        <rFont val="Calibri"/>
        <family val="2"/>
        <scheme val="minor"/>
      </rPr>
      <t>Type the list into the dialogue box</t>
    </r>
    <r>
      <rPr>
        <sz val="11"/>
        <color theme="1"/>
        <rFont val="Calibri"/>
        <family val="2"/>
        <scheme val="minor"/>
      </rPr>
      <t>, with each name separated by a comma</t>
    </r>
  </si>
  <si>
    <t>The list:</t>
  </si>
  <si>
    <r>
      <t xml:space="preserve">Paste an offset formula into the dialogue box </t>
    </r>
    <r>
      <rPr>
        <sz val="11"/>
        <color theme="1"/>
        <rFont val="Calibri"/>
        <family val="2"/>
        <scheme val="minor"/>
      </rPr>
      <t>(to create a list that can be enlarged)</t>
    </r>
  </si>
  <si>
    <r>
      <t xml:space="preserve">The formula: </t>
    </r>
    <r>
      <rPr>
        <b/>
        <sz val="11"/>
        <color theme="1"/>
        <rFont val="Calibri"/>
        <family val="2"/>
        <scheme val="minor"/>
      </rPr>
      <t>OFFSET(C50,1,3,COUNTA($F:$F))</t>
    </r>
    <r>
      <rPr>
        <sz val="11"/>
        <color theme="1"/>
        <rFont val="Calibri"/>
        <family val="2"/>
        <scheme val="minor"/>
      </rPr>
      <t xml:space="preserve"> generates the list in green, from the list in the yellow cells</t>
    </r>
  </si>
  <si>
    <t xml:space="preserve">Then click on the validation icon, select 'List', place cursor into the Source box, press F3, </t>
  </si>
  <si>
    <t>Copy the offset formula into the Source box in the validation dialogue box, to create a validation list that you can keep adding items to</t>
  </si>
  <si>
    <t>Eg: =Offset(Sheet1!B5,1,1,Counta$C:$C)   This would deliver a range featuring all cells with letters in column B, into  the validation list.</t>
  </si>
  <si>
    <t xml:space="preserve">Then click on the down arrow </t>
  </si>
  <si>
    <t xml:space="preserve">  and select 'More Commands', as at right</t>
  </si>
  <si>
    <r>
      <rPr>
        <sz val="11"/>
        <color theme="1"/>
        <rFont val="Wingdings"/>
        <charset val="2"/>
      </rPr>
      <t></t>
    </r>
    <r>
      <rPr>
        <sz val="11"/>
        <color theme="1"/>
        <rFont val="Calibri"/>
        <family val="2"/>
      </rPr>
      <t xml:space="preserve"> </t>
    </r>
    <r>
      <rPr>
        <sz val="11"/>
        <color theme="1"/>
        <rFont val="Calibri"/>
        <family val="2"/>
        <scheme val="minor"/>
      </rPr>
      <t>Here is a recommended Toolbar</t>
    </r>
  </si>
  <si>
    <t>Isblank, Isnull, IsNA, Isnumber etc</t>
  </si>
  <si>
    <t>These deliver True or False if the cell contains a particular type of value</t>
  </si>
  <si>
    <t>ISBLANK(D215)</t>
  </si>
  <si>
    <t>ISNUMBER(D216)</t>
  </si>
  <si>
    <t>These are most useful when nested in an 'If' function. Eg:</t>
  </si>
  <si>
    <t>Test</t>
  </si>
  <si>
    <t>IF(ISBLANK(D220),0,"")</t>
  </si>
  <si>
    <t>Using Offset to Create a Chart which Shows any Range of Selected Values</t>
  </si>
  <si>
    <t>Creating a Chart that will Expand to Accommodate Additional Data</t>
  </si>
  <si>
    <t>Here is a table of data</t>
  </si>
  <si>
    <t>We want to be able to add to the table and have the chart reflect those results</t>
  </si>
  <si>
    <t>Create offset formulae for the dates and results</t>
  </si>
  <si>
    <t>Dates</t>
  </si>
  <si>
    <t>Results</t>
  </si>
  <si>
    <t>An offset formula is created to select all of the dates, and any further ones that may be added to the list</t>
  </si>
  <si>
    <r>
      <t xml:space="preserve">For the </t>
    </r>
    <r>
      <rPr>
        <b/>
        <sz val="11"/>
        <color theme="1"/>
        <rFont val="Calibri"/>
        <family val="2"/>
        <scheme val="minor"/>
      </rPr>
      <t>dates</t>
    </r>
    <r>
      <rPr>
        <sz val="11"/>
        <color theme="1"/>
        <rFont val="Calibri"/>
        <family val="2"/>
        <scheme val="minor"/>
      </rPr>
      <t xml:space="preserve"> the offset formula is =Offset($C$8,1,0,Counta($C:$C)-1)</t>
    </r>
  </si>
  <si>
    <r>
      <t xml:space="preserve">For the </t>
    </r>
    <r>
      <rPr>
        <b/>
        <sz val="11"/>
        <color theme="1"/>
        <rFont val="Calibri"/>
        <family val="2"/>
        <scheme val="minor"/>
      </rPr>
      <t>results</t>
    </r>
    <r>
      <rPr>
        <sz val="11"/>
        <color theme="1"/>
        <rFont val="Calibri"/>
        <family val="2"/>
        <scheme val="minor"/>
      </rPr>
      <t>, the offset formula is OFFSET($D$8,1,0,COUNTA($D:$D)-1)</t>
    </r>
  </si>
  <si>
    <t>Here is is</t>
  </si>
  <si>
    <t>May</t>
  </si>
  <si>
    <t>All cell addresses must include $ signs so that they are absolute references</t>
  </si>
  <si>
    <t>Give each of these ranges a name</t>
  </si>
  <si>
    <t>Now we will give these offset formula results a name, as a named range</t>
  </si>
  <si>
    <t>Click 'New'</t>
  </si>
  <si>
    <r>
      <t>Type in the name of the range (</t>
    </r>
    <r>
      <rPr>
        <b/>
        <sz val="11"/>
        <color theme="1"/>
        <rFont val="Calibri"/>
        <family val="2"/>
        <scheme val="minor"/>
      </rPr>
      <t>DataRange</t>
    </r>
    <r>
      <rPr>
        <sz val="11"/>
        <color theme="1"/>
        <rFont val="Calibri"/>
        <family val="2"/>
        <scheme val="minor"/>
      </rPr>
      <t xml:space="preserve"> in this case) and the offset formula which generated the range</t>
    </r>
  </si>
  <si>
    <r>
      <t xml:space="preserve">Do the same for the results, calling the offset range </t>
    </r>
    <r>
      <rPr>
        <b/>
        <sz val="11"/>
        <color theme="1"/>
        <rFont val="Calibri"/>
        <family val="2"/>
        <scheme val="minor"/>
      </rPr>
      <t>ResultsRange</t>
    </r>
    <r>
      <rPr>
        <sz val="11"/>
        <color theme="1"/>
        <rFont val="Calibri"/>
        <family val="2"/>
        <scheme val="minor"/>
      </rPr>
      <t xml:space="preserve"> in this example</t>
    </r>
  </si>
  <si>
    <r>
      <t xml:space="preserve">So now the offset ranges for the table are named </t>
    </r>
    <r>
      <rPr>
        <b/>
        <sz val="11"/>
        <color theme="1"/>
        <rFont val="Calibri"/>
        <family val="2"/>
        <scheme val="minor"/>
      </rPr>
      <t>DataRang</t>
    </r>
    <r>
      <rPr>
        <sz val="11"/>
        <color theme="1"/>
        <rFont val="Calibri"/>
        <family val="2"/>
        <scheme val="minor"/>
      </rPr>
      <t xml:space="preserve">e and </t>
    </r>
    <r>
      <rPr>
        <b/>
        <sz val="11"/>
        <color theme="1"/>
        <rFont val="Calibri"/>
        <family val="2"/>
        <scheme val="minor"/>
      </rPr>
      <t>ResultsRange</t>
    </r>
  </si>
  <si>
    <t>Now add the ranges to a chart</t>
  </si>
  <si>
    <t>Select an empty cell &gt; click on the chart icon and select a chart type, and a chart border will appear - but there will be no chart, just a border</t>
  </si>
  <si>
    <t>&gt; Type F3 &gt; paste the dynamic range in (in this case, 'DateRange')</t>
  </si>
  <si>
    <t>It should  look like this, with the sheet name being included automatically</t>
  </si>
  <si>
    <t>You will end up with a chart like this one. And if you add a new date and value, the chart will expand to encompass the new data</t>
  </si>
  <si>
    <t>Press Control+F3 (or Formulas &gt; Define Name) and the name range dialogue box appears</t>
  </si>
  <si>
    <t xml:space="preserve">which is =Offset($C$8,1,0,Counta($C:$C)-1), as shown above. </t>
  </si>
  <si>
    <t>Select the name of the sheet ('Sheet1' in this case) as the scope of the named range. Then close the dialogue box.</t>
  </si>
  <si>
    <t>&gt; Select 'Series 1' &gt; Click 'Edit'</t>
  </si>
  <si>
    <t>Select window 'series values' &gt; delete its contents &gt; press F3 &gt; select the range (ResultsRange in this case) &gt; Click OK</t>
  </si>
  <si>
    <t>Type in or select the address for the series name. Which is $C$8, containing the name 'Results'</t>
  </si>
  <si>
    <r>
      <t xml:space="preserve">The dialogue box will look like this </t>
    </r>
    <r>
      <rPr>
        <sz val="11"/>
        <color theme="1"/>
        <rFont val="Wingdings"/>
        <charset val="2"/>
      </rPr>
      <t>F</t>
    </r>
  </si>
  <si>
    <t xml:space="preserve">Under heading 'horizontal (category) axis labels', click 'Edit' &gt; place cursor in the window 'Axis label range' </t>
  </si>
  <si>
    <t>Click OK</t>
  </si>
  <si>
    <r>
      <t xml:space="preserve">These two ranges are named: Column1 as </t>
    </r>
    <r>
      <rPr>
        <b/>
        <sz val="11"/>
        <color theme="1"/>
        <rFont val="Calibri"/>
        <family val="2"/>
        <scheme val="minor"/>
      </rPr>
      <t>Daterange</t>
    </r>
    <r>
      <rPr>
        <sz val="11"/>
        <color theme="1"/>
        <rFont val="Calibri"/>
        <family val="2"/>
        <scheme val="minor"/>
      </rPr>
      <t xml:space="preserve">, and Smith as </t>
    </r>
    <r>
      <rPr>
        <b/>
        <sz val="11"/>
        <color theme="1"/>
        <rFont val="Calibri"/>
        <family val="2"/>
        <scheme val="minor"/>
      </rPr>
      <t>Smithrange</t>
    </r>
    <r>
      <rPr>
        <sz val="11"/>
        <color theme="1"/>
        <rFont val="Calibri"/>
        <family val="2"/>
        <scheme val="minor"/>
      </rPr>
      <t xml:space="preserve"> </t>
    </r>
  </si>
  <si>
    <t>This gives a list of the dates in the table above (E3:E4), for selection</t>
  </si>
  <si>
    <t>Using the start and end dates, an offset &amp; match formula defines the range of months chosen in cells E3:E4 (Daterange) and the corresponding data for that range of months (Smithrange) ranges</t>
  </si>
  <si>
    <t>For the data, the range formula is: =@OFFSET('Chart &amp; changing values'!$B$1,MATCH($E$3,'Chart &amp; changing values'!$A:$A,0)-1,0,MATCH($E$4,'Chart &amp; changing values'!$A:$A,0)-MATCH($E$3,'Chart &amp; changing values'!$A:$A,0)+1)</t>
  </si>
  <si>
    <t>This means the offset formula steps down from the heading 'Smith' to 'January' since it matches the start date selected in Cell E3, then proceeds as many steps downward as the difference between the Match location of 'April', chosen in cell E4, and January, chosen in cell E3</t>
  </si>
  <si>
    <t>Next, a start and end date is selected in cells E3 and E4, using that validation list</t>
  </si>
  <si>
    <t>A validation list for selecting the start and end months for a chart</t>
  </si>
  <si>
    <t>Using the Start and End dates to create offset formulae to select relevant data then name</t>
  </si>
  <si>
    <t>Incorporating the range names into a chart</t>
  </si>
  <si>
    <t>The range names define the data required for the chart</t>
  </si>
  <si>
    <t>They must now be incorporated into the data parameters of the chart</t>
  </si>
  <si>
    <t xml:space="preserve">Select chart border &gt; Chart Design &gt; Select data &gt; Place cursor in 'Chart data range' box &gt; Select the data in the Results column, as shown in the table i.e.: cells $B$2:$B$5 </t>
  </si>
  <si>
    <t>Select window 'series values' &gt; delete its contents &gt; press F3 &gt; select the range (Smithrange in this case) &gt; Click OK</t>
  </si>
  <si>
    <t>Type in or select the address for the series name. Which is $B$1, containing the name 'Smith'</t>
  </si>
  <si>
    <t>&gt; Type F3 &gt; paste the dynamic range for the months in (in this case, 'Daterange')</t>
  </si>
  <si>
    <t>You will end up with a chart like this one. And if you add a new date and value, the chart will expand to encompass the data within the range of the two dates selected above, in cells E3 and E4</t>
  </si>
  <si>
    <t>Key Excel Formulae and Processes</t>
  </si>
  <si>
    <t>with worked examples</t>
  </si>
  <si>
    <t>A quick access toolbar</t>
  </si>
  <si>
    <t>Count and Sumif</t>
  </si>
  <si>
    <t>Ranges</t>
  </si>
  <si>
    <t>Dbase</t>
  </si>
  <si>
    <t>Offset</t>
  </si>
  <si>
    <t>Back to Index</t>
  </si>
  <si>
    <t>Formatting the chart: change format to 'Playbill' which thickens the pipes to make a solid bar</t>
  </si>
  <si>
    <t>Absolute Value</t>
  </si>
  <si>
    <t>This formula is installed on the  upper, green-shaded row, to install zeros where there are no data. It will help the Match formula determine how many columns already have data in them</t>
  </si>
  <si>
    <t xml:space="preserve">Each row of the criteria gives values in the fields which must be met. So in row one above, the Dbase formula will select values only where </t>
  </si>
  <si>
    <t>Here, the figures in the criteria table are formed by combining the '&gt;=' then '&amp;' then the lookup value</t>
  </si>
  <si>
    <t>So the Dbase formula summed the population in any of these municipalities, where the birthplace was Myanmar and ages were between 20 and 65</t>
  </si>
  <si>
    <t>But if so, add commas to represent the arguments relating to each part of the formula  Eg: =Offset(G9,1,,,)</t>
  </si>
  <si>
    <t>So, =Offset(B4, 1,1,5,1) would move one down,  one across and select a range 5 cells in height and one wide, to deliver the range 'AA:EE'</t>
  </si>
  <si>
    <t>Concatenate</t>
  </si>
  <si>
    <t>Concatenate combines a sequence of numbers, words and contents of cells into a single expression</t>
  </si>
  <si>
    <t>Words and numbers must be encompassed in inverted commas. Cell references may be given without commas</t>
  </si>
  <si>
    <t>=CONCATENATE("The score is ",E6)</t>
  </si>
  <si>
    <t>Each group of words of numbers, and cell references, must be separated by a comma</t>
  </si>
  <si>
    <t>Firstname</t>
  </si>
  <si>
    <t>Surname</t>
  </si>
  <si>
    <t>Mary</t>
  </si>
  <si>
    <t>=CONCATENATE(E10," ",F10)</t>
  </si>
  <si>
    <t>OS Born</t>
  </si>
  <si>
    <t>Kingston</t>
  </si>
  <si>
    <t>NESB</t>
  </si>
  <si>
    <t>2. A pull down list and vlookup function selects the required information</t>
  </si>
  <si>
    <t>3. Now a concatenate formula assembles the information into a sentence</t>
  </si>
  <si>
    <t>=CONCATENATE(B25," is a municipality with a population of ",C25," residents, of whom ",D25," per cent were born overseas and ",E25," per cent in non-English-speaking countries")</t>
  </si>
  <si>
    <t>1. Here is a table of data</t>
  </si>
  <si>
    <t>In this way it is possible to create short reports whose contents change to reflect a choice made with a pull-down list</t>
  </si>
  <si>
    <t>The concatenate function can be used to assemble data from a table, then convert it into a paragraph of information</t>
  </si>
  <si>
    <t xml:space="preserve">What you want to know about the cell include: </t>
  </si>
  <si>
    <t>“col” - which column it is in</t>
  </si>
  <si>
    <t>“row” – which row it is in</t>
  </si>
  <si>
    <t>“address” – address of cell</t>
  </si>
  <si>
    <t>“type” – returns b for blank, l for words, v otherwise</t>
  </si>
  <si>
    <t>So =Cell(“col”,A1) – would deliver 1, the column of cell As</t>
  </si>
  <si>
    <t xml:space="preserve">     =Cell(“address”,A1) – would deliver A1, the address of the cell</t>
  </si>
  <si>
    <t xml:space="preserve">    = Cell(“type”, A1) – would return ‘b’ if it were blank, ‘l’ if it contained letters and ‘v’ otherwise</t>
  </si>
  <si>
    <t>The results of such a calculation could be used in an If sum. Eg: =IF(CELL("type", A1) = "v", A1 * 2, 0)</t>
  </si>
  <si>
    <t>=CELL(term for what you want to know about the cell, cell reference)</t>
  </si>
  <si>
    <t>Cell</t>
  </si>
  <si>
    <t>Find</t>
  </si>
  <si>
    <t>Pivot Tables</t>
  </si>
  <si>
    <t>Creating a pivot table</t>
  </si>
  <si>
    <t>Create a table, with all fields named, and no gaps between rows</t>
  </si>
  <si>
    <t>On another sheet, place cursor  in a cell – usually about two rows down and 2 across from the edge</t>
  </si>
  <si>
    <t xml:space="preserve">Click on the pivot table icon </t>
  </si>
  <si>
    <t xml:space="preserve"> or Insert &gt; Pivot Table </t>
  </si>
  <si>
    <t>In the dialogue box which appears, select the table you have created, including its fields</t>
  </si>
  <si>
    <t>Selecting Variables for the Pivot Table</t>
  </si>
  <si>
    <t>A pivot table will appear, but with no values in it. Place cursor within the pivot table and a box with the pivot table fields will appear</t>
  </si>
  <si>
    <t>Drag and drop the names of the fields you require into the areas designated for rows, columns and filters.</t>
  </si>
  <si>
    <t>Importantly though, you must select a variable to form the basis for the numbers which will appear in each cell of the pivot table</t>
  </si>
  <si>
    <t xml:space="preserve">Then it is necessary to click on the downward arrow to the age variable name                                         then click on ‘Value field settings’. </t>
  </si>
  <si>
    <t>This produces a dialogue box which allows you to determine whether the pivot table will present values representing:</t>
  </si>
  <si>
    <t>‘* Count of age – the number of rows containing any age value, for each combination of age and sex in the table</t>
  </si>
  <si>
    <t>‘* Sum of age – the total of the ages for all rows of a particular combination of age and sex in the table</t>
  </si>
  <si>
    <t>‘* Average of age – the average of the ages for all rows of any particular combination of age and sex in the table</t>
  </si>
  <si>
    <t>Often the count is the most suitable, as it will count the number of cases or rows (which in a survey may represent people) who fall within each combination of categories of sex and age.</t>
  </si>
  <si>
    <t>Now you have a pivot table.</t>
  </si>
  <si>
    <t>In the instance below, the variable ‘age’ was dragged into the                           area</t>
  </si>
  <si>
    <t>Adjusting the Pivot Table</t>
  </si>
  <si>
    <t>Click on the heading ‘Pivot Table Analyse’ to view options for adjusting your table</t>
  </si>
  <si>
    <t>Changing a Field Name in the original table</t>
  </si>
  <si>
    <t xml:space="preserve">If you change a field name in the table, click on the Refresh button under the ‘Pivot Table Analyse’ ribbon, above </t>
  </si>
  <si>
    <t>Changing Data Source</t>
  </si>
  <si>
    <t>Click the button ‘Change data source’ in the ribbon and follow the prompts</t>
  </si>
  <si>
    <t>Showing calls with no data</t>
  </si>
  <si>
    <t>Generally it is most useful to view all combinations of your selected variables in the pivot table – including ones with a value of zero</t>
  </si>
  <si>
    <t xml:space="preserve">Right-click on a category heading (such as ‘female’ in this case), and select ‘field settings’ </t>
  </si>
  <si>
    <t>Click the Layout and Print tab</t>
  </si>
  <si>
    <t>Check ‘Show items with no data’</t>
  </si>
  <si>
    <t>Filters</t>
  </si>
  <si>
    <t>You can drag a variable into the ‘’Filters’ section of the dialogue box to the right, to get your pivot table to display results for a subset of your data.</t>
  </si>
  <si>
    <t>For example, here, the variable ‘Suburb’ has been placed in the filter area.</t>
  </si>
  <si>
    <t>To the left, it will appear above the rest of the pivot table, as the filter</t>
  </si>
  <si>
    <t>Click on the downward-pointing arrow next to the name of your filter and a dialogue box appears</t>
  </si>
  <si>
    <t>Check ‘Select multiple items’ and you can select any number of categories of the filter variable, as the range of records to be tabulated in the pivot table</t>
  </si>
  <si>
    <t>Here, the postcode 3215 has been selected. Now the pivot table will only display results for age and sex, for cases with this value for the postcode</t>
  </si>
  <si>
    <t>Further manipulation of the pivot table</t>
  </si>
  <si>
    <t>Once you have the basic table/s you require, it may be most useful to copy and transfer them to an Excel sheet, for further manipulation or formatting</t>
  </si>
  <si>
    <t>Select chart border &gt; Chart Design &gt; Select data &gt; Place cursor in 'Chart data range' box &gt; Select the data in the Results column, as shown in the table i.e.: cells $D$9:$D$13 (Don’t select the date labels)</t>
  </si>
  <si>
    <t>(If it fails to include the sheet name in the formula, add '=Sheetname!' first, then press F3 to add range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</si>
</sst>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56">
    <font>
      <sz val="11"/>
      <color theme="1"/>
      <name val="Calibri"/>
      <family val="2"/>
      <scheme val="minor"/>
    </font>
    <font>
      <sz val="9"/>
      <color theme="1"/>
      <name val="Calibri"/>
      <family val="2"/>
      <scheme val="minor"/>
    </font>
    <font>
      <b/>
      <sz val="9"/>
      <color theme="1"/>
      <name val="Calibri"/>
      <family val="2"/>
      <scheme val="minor"/>
    </font>
    <font>
      <b/>
      <sz val="11"/>
      <color theme="1"/>
      <name val="Calibri"/>
      <family val="2"/>
      <scheme val="minor"/>
    </font>
    <font>
      <b/>
      <sz val="12"/>
      <color theme="1"/>
      <name val="Times New Roman"/>
      <family val="1"/>
    </font>
    <font>
      <sz val="11"/>
      <color theme="1"/>
      <name val="Times New Roman"/>
      <family val="1"/>
    </font>
    <font>
      <sz val="10"/>
      <color theme="1"/>
      <name val="Times New Roman"/>
      <family val="1"/>
    </font>
    <font>
      <b/>
      <sz val="11"/>
      <color theme="1"/>
      <name val="Times New Roman"/>
      <family val="1"/>
    </font>
    <font>
      <sz val="16"/>
      <color theme="1"/>
      <name val="Calibri"/>
      <family val="2"/>
      <scheme val="minor"/>
    </font>
    <font>
      <sz val="8"/>
      <color theme="1"/>
      <name val="Calibri"/>
      <family val="2"/>
      <scheme val="minor"/>
    </font>
    <font>
      <sz val="10"/>
      <color theme="1"/>
      <name val="Calibri"/>
      <family val="2"/>
      <scheme val="minor"/>
    </font>
    <font>
      <b/>
      <sz val="10"/>
      <color theme="1"/>
      <name val="Calibri"/>
      <family val="2"/>
      <scheme val="minor"/>
    </font>
    <font>
      <i/>
      <sz val="11"/>
      <color theme="1"/>
      <name val="Calibri"/>
      <family val="2"/>
      <scheme val="minor"/>
    </font>
    <font>
      <i/>
      <sz val="11"/>
      <color theme="4" tint="-0.499984740745262"/>
      <name val="Calibri"/>
      <family val="2"/>
      <scheme val="minor"/>
    </font>
    <font>
      <b/>
      <sz val="12"/>
      <color theme="1"/>
      <name val="Calibri"/>
      <family val="2"/>
      <scheme val="minor"/>
    </font>
    <font>
      <b/>
      <sz val="16"/>
      <color theme="1"/>
      <name val="Calibri"/>
      <family val="2"/>
      <scheme val="minor"/>
    </font>
    <font>
      <i/>
      <sz val="9"/>
      <color theme="1"/>
      <name val="Calibri"/>
      <family val="2"/>
      <scheme val="minor"/>
    </font>
    <font>
      <sz val="9"/>
      <color theme="1"/>
      <name val="Times New Roman"/>
      <family val="1"/>
    </font>
    <font>
      <b/>
      <sz val="12"/>
      <color theme="1"/>
      <name val="Calibri"/>
      <family val="2"/>
    </font>
    <font>
      <sz val="11"/>
      <color theme="1"/>
      <name val="Calibri"/>
      <family val="2"/>
    </font>
    <font>
      <sz val="8"/>
      <name val="Calibri"/>
      <family val="2"/>
      <scheme val="minor"/>
    </font>
    <font>
      <sz val="7.5"/>
      <name val="Calibri"/>
      <family val="2"/>
      <scheme val="minor"/>
    </font>
    <font>
      <i/>
      <sz val="10"/>
      <color theme="1"/>
      <name val="Calibri"/>
      <family val="2"/>
      <scheme val="minor"/>
    </font>
    <font>
      <vertAlign val="superscript"/>
      <sz val="11"/>
      <color theme="1"/>
      <name val="Calibri"/>
      <family val="2"/>
      <scheme val="minor"/>
    </font>
    <font>
      <sz val="10"/>
      <name val="Calibri"/>
      <family val="2"/>
      <scheme val="minor"/>
    </font>
    <font>
      <sz val="7"/>
      <color theme="4" tint="-0.499984740745262"/>
      <name val="Times New Roman"/>
      <family val="1"/>
    </font>
    <font>
      <sz val="8"/>
      <color theme="4" tint="-0.499984740745262"/>
      <name val="Times New Roman"/>
      <family val="1"/>
    </font>
    <font>
      <sz val="7"/>
      <color theme="1"/>
      <name val="Calibri"/>
      <family val="2"/>
      <scheme val="minor"/>
    </font>
    <font>
      <i/>
      <sz val="10"/>
      <color theme="1"/>
      <name val="Times New Roman"/>
      <family val="1"/>
    </font>
    <font>
      <vertAlign val="superscript"/>
      <sz val="11"/>
      <color theme="1"/>
      <name val="Times New Roman"/>
      <family val="1"/>
    </font>
    <font>
      <sz val="9"/>
      <color theme="3" tint="-0.249977111117893"/>
      <name val="Calibri"/>
      <family val="2"/>
      <scheme val="minor"/>
    </font>
    <font>
      <sz val="6"/>
      <color theme="1"/>
      <name val="Calibri"/>
      <family val="2"/>
      <scheme val="minor"/>
    </font>
    <font>
      <sz val="11"/>
      <color theme="1"/>
      <name val="Wingdings"/>
      <charset val="2"/>
    </font>
    <font>
      <sz val="11"/>
      <color theme="1"/>
      <name val="Garamond"/>
      <family val="1"/>
    </font>
    <font>
      <sz val="14"/>
      <color theme="1"/>
      <name val="Garamond"/>
      <family val="1"/>
    </font>
    <font>
      <b/>
      <sz val="11"/>
      <color theme="1"/>
      <name val="Garamond"/>
      <family val="1"/>
    </font>
    <font>
      <i/>
      <sz val="12"/>
      <color theme="1"/>
      <name val="Calibri"/>
      <family val="2"/>
      <scheme val="minor"/>
    </font>
    <font>
      <sz val="14"/>
      <color rgb="FFFFFF00"/>
      <name val="Calibri"/>
      <family val="2"/>
      <scheme val="minor"/>
    </font>
    <font>
      <sz val="11"/>
      <color rgb="FFFFFF00"/>
      <name val="Garamond"/>
      <family val="1"/>
    </font>
    <font>
      <sz val="11"/>
      <color rgb="FFFFFF00"/>
      <name val="Calibri"/>
      <family val="2"/>
      <scheme val="minor"/>
    </font>
    <font>
      <sz val="10"/>
      <name val="Arial"/>
      <family val="2"/>
    </font>
    <font>
      <sz val="9"/>
      <name val="Calibri"/>
      <family val="2"/>
      <scheme val="minor"/>
    </font>
    <font>
      <b/>
      <sz val="8"/>
      <color rgb="FFFFFF00"/>
      <name val="Calibri"/>
      <family val="2"/>
      <scheme val="minor"/>
    </font>
    <font>
      <sz val="8"/>
      <color theme="3" tint="-0.499984740745262"/>
      <name val="Calibri"/>
      <family val="2"/>
      <scheme val="minor"/>
    </font>
    <font>
      <sz val="12"/>
      <color theme="1"/>
      <name val="Calibri"/>
      <family val="2"/>
      <scheme val="minor"/>
    </font>
    <font>
      <sz val="11"/>
      <color theme="1"/>
      <name val="Playbill"/>
      <family val="5"/>
    </font>
    <font>
      <sz val="11"/>
      <color theme="1"/>
      <name val="Calibri"/>
      <family val="2"/>
      <charset val="2"/>
      <scheme val="minor"/>
    </font>
    <font>
      <sz val="16"/>
      <color rgb="FFFFFF00"/>
      <name val="Calibri"/>
      <family val="2"/>
      <scheme val="minor"/>
    </font>
    <font>
      <b/>
      <i/>
      <sz val="11"/>
      <color rgb="FFC00000"/>
      <name val="Calibri"/>
      <family val="2"/>
      <scheme val="minor"/>
    </font>
    <font>
      <b/>
      <sz val="14"/>
      <color theme="4" tint="-0.499984740745262"/>
      <name val="Garamond"/>
      <family val="1"/>
    </font>
    <font>
      <u/>
      <sz val="11"/>
      <color theme="10"/>
      <name val="Calibri"/>
      <family val="2"/>
      <scheme val="minor"/>
    </font>
    <font>
      <sz val="26"/>
      <color rgb="FF006600"/>
      <name val="Garamond"/>
      <family val="1"/>
    </font>
    <font>
      <sz val="16"/>
      <color rgb="FF006600"/>
      <name val="Garamond"/>
      <family val="1"/>
    </font>
    <font>
      <b/>
      <sz val="14"/>
      <color rgb="FFFFFF00"/>
      <name val="Garamond"/>
      <family val="1"/>
    </font>
    <font>
      <b/>
      <sz val="11"/>
      <color theme="1"/>
      <name val="Calibri"/>
      <family val="2"/>
    </font>
    <font>
      <sz val="8"/>
      <color theme="1"/>
      <name val="Calibri"/>
      <family val="2"/>
    </font>
  </fonts>
  <fills count="17">
    <fill>
      <patternFill patternType="none"/>
    </fill>
    <fill>
      <patternFill patternType="gray125"/>
    </fill>
    <fill>
      <patternFill patternType="solid">
        <fgColor theme="9" tint="0.79998168889431442"/>
        <bgColor indexed="64"/>
      </patternFill>
    </fill>
    <fill>
      <patternFill patternType="solid">
        <fgColor indexed="41"/>
        <bgColor indexed="64"/>
      </patternFill>
    </fill>
    <fill>
      <patternFill patternType="solid">
        <fgColor theme="3" tint="0.59999389629810485"/>
        <bgColor theme="4" tint="0.79998168889431442"/>
      </patternFill>
    </fill>
    <fill>
      <patternFill patternType="solid">
        <fgColor theme="3" tint="0.59999389629810485"/>
        <bgColor indexed="64"/>
      </patternFill>
    </fill>
    <fill>
      <patternFill patternType="solid">
        <fgColor rgb="FFFFFF00"/>
        <bgColor indexed="64"/>
      </patternFill>
    </fill>
    <fill>
      <patternFill patternType="solid">
        <fgColor theme="2"/>
        <bgColor indexed="64"/>
      </patternFill>
    </fill>
    <fill>
      <patternFill patternType="solid">
        <fgColor theme="2" tint="-0.249977111117893"/>
        <bgColor indexed="64"/>
      </patternFill>
    </fill>
    <fill>
      <patternFill patternType="solid">
        <fgColor theme="5" tint="0.79998168889431442"/>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rgb="FF006600"/>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7" tint="0.59999389629810485"/>
        <bgColor indexed="64"/>
      </patternFill>
    </fill>
    <fill>
      <patternFill patternType="solid">
        <fgColor rgb="FF008000"/>
        <bgColor indexed="64"/>
      </patternFill>
    </fill>
  </fills>
  <borders count="11">
    <border>
      <left/>
      <right/>
      <top/>
      <bottom/>
      <diagonal/>
    </border>
    <border>
      <left/>
      <right/>
      <top style="hair">
        <color auto="1"/>
      </top>
      <bottom style="hair">
        <color auto="1"/>
      </bottom>
      <diagonal/>
    </border>
    <border>
      <left/>
      <right/>
      <top/>
      <bottom style="hair">
        <color indexed="64"/>
      </bottom>
      <diagonal/>
    </border>
    <border>
      <left/>
      <right/>
      <top style="hair">
        <color auto="1"/>
      </top>
      <bottom/>
      <diagonal/>
    </border>
    <border>
      <left/>
      <right style="thin">
        <color theme="0"/>
      </right>
      <top style="thin">
        <color theme="0"/>
      </top>
      <bottom style="thin">
        <color theme="0"/>
      </bottom>
      <diagonal/>
    </border>
    <border>
      <left/>
      <right/>
      <top style="thin">
        <color theme="0"/>
      </top>
      <bottom style="thin">
        <color theme="0"/>
      </bottom>
      <diagonal/>
    </border>
    <border>
      <left/>
      <right style="thin">
        <color theme="0"/>
      </right>
      <top/>
      <bottom style="thin">
        <color theme="0"/>
      </bottom>
      <diagonal/>
    </border>
    <border>
      <left/>
      <right/>
      <top/>
      <bottom style="thin">
        <color theme="0"/>
      </bottom>
      <diagonal/>
    </border>
    <border>
      <left/>
      <right style="thin">
        <color theme="0"/>
      </right>
      <top/>
      <bottom/>
      <diagonal/>
    </border>
    <border>
      <left/>
      <right/>
      <top/>
      <bottom style="thin">
        <color indexed="64"/>
      </bottom>
      <diagonal/>
    </border>
    <border>
      <left/>
      <right/>
      <top style="thin">
        <color indexed="64"/>
      </top>
      <bottom style="hair">
        <color indexed="64"/>
      </bottom>
      <diagonal/>
    </border>
  </borders>
  <cellStyleXfs count="4">
    <xf numFmtId="0" fontId="0" fillId="0" borderId="0"/>
    <xf numFmtId="0" fontId="40" fillId="0" borderId="0"/>
    <xf numFmtId="43" fontId="40" fillId="0" borderId="0" applyFont="0" applyFill="0" applyBorder="0" applyAlignment="0" applyProtection="0"/>
    <xf numFmtId="0" fontId="50" fillId="0" borderId="0" applyNumberFormat="0" applyFill="0" applyBorder="0" applyAlignment="0" applyProtection="0"/>
  </cellStyleXfs>
  <cellXfs count="197">
    <xf numFmtId="0" fontId="0" fillId="0" borderId="0" xfId="0"/>
    <xf numFmtId="0" fontId="1" fillId="0" borderId="0" xfId="0" applyFont="1"/>
    <xf numFmtId="0" fontId="1" fillId="0" borderId="1" xfId="0" applyFont="1" applyBorder="1"/>
    <xf numFmtId="0" fontId="1" fillId="0" borderId="0" xfId="0" quotePrefix="1" applyFont="1"/>
    <xf numFmtId="0" fontId="2" fillId="0" borderId="0" xfId="0" applyFont="1"/>
    <xf numFmtId="0" fontId="4" fillId="0" borderId="0" xfId="0" applyFont="1" applyAlignment="1">
      <alignment horizontal="justify" vertical="center"/>
    </xf>
    <xf numFmtId="0" fontId="6" fillId="0" borderId="0" xfId="0" applyFont="1" applyAlignment="1">
      <alignment vertical="center"/>
    </xf>
    <xf numFmtId="0" fontId="5" fillId="0" borderId="0" xfId="0" applyFont="1" applyAlignment="1">
      <alignment vertical="center"/>
    </xf>
    <xf numFmtId="0" fontId="0" fillId="0" borderId="0" xfId="0" applyAlignment="1">
      <alignment horizontal="center"/>
    </xf>
    <xf numFmtId="0" fontId="8" fillId="0" borderId="0" xfId="0" applyFont="1"/>
    <xf numFmtId="0" fontId="9" fillId="0" borderId="0" xfId="0" applyFont="1"/>
    <xf numFmtId="0" fontId="9" fillId="0" borderId="0" xfId="0" applyFont="1" applyAlignment="1">
      <alignment horizontal="center"/>
    </xf>
    <xf numFmtId="0" fontId="3" fillId="0" borderId="0" xfId="0" applyFont="1"/>
    <xf numFmtId="0" fontId="0" fillId="0" borderId="0" xfId="0" quotePrefix="1"/>
    <xf numFmtId="0" fontId="2" fillId="2" borderId="0" xfId="0" applyFont="1" applyFill="1" applyAlignment="1">
      <alignment horizontal="center"/>
    </xf>
    <xf numFmtId="0" fontId="0" fillId="2" borderId="0" xfId="0" applyFill="1"/>
    <xf numFmtId="0" fontId="11" fillId="2" borderId="0" xfId="0" applyFont="1" applyFill="1" applyAlignment="1">
      <alignment horizontal="center"/>
    </xf>
    <xf numFmtId="0" fontId="0" fillId="0" borderId="0" xfId="0" applyFont="1"/>
    <xf numFmtId="0" fontId="0" fillId="0" borderId="0" xfId="0" applyFont="1" applyFill="1"/>
    <xf numFmtId="0" fontId="1" fillId="0" borderId="0" xfId="0" applyFont="1" applyFill="1" applyProtection="1">
      <protection hidden="1"/>
    </xf>
    <xf numFmtId="0" fontId="11" fillId="2" borderId="0" xfId="0" applyFont="1" applyFill="1" applyAlignment="1" applyProtection="1">
      <alignment horizontal="center"/>
      <protection hidden="1"/>
    </xf>
    <xf numFmtId="0" fontId="1" fillId="2" borderId="0" xfId="0" applyFont="1" applyFill="1" applyProtection="1">
      <protection hidden="1"/>
    </xf>
    <xf numFmtId="0" fontId="9" fillId="2" borderId="0" xfId="0" applyFont="1" applyFill="1" applyAlignment="1" applyProtection="1">
      <alignment horizontal="center"/>
      <protection hidden="1"/>
    </xf>
    <xf numFmtId="0" fontId="10" fillId="0" borderId="0" xfId="0" applyFont="1"/>
    <xf numFmtId="0" fontId="10" fillId="0" borderId="0" xfId="0" applyFont="1" applyAlignment="1">
      <alignment wrapText="1"/>
    </xf>
    <xf numFmtId="0" fontId="0" fillId="0" borderId="0" xfId="0" applyAlignment="1">
      <alignment horizontal="left" indent="2"/>
    </xf>
    <xf numFmtId="0" fontId="10" fillId="0" borderId="0" xfId="0" applyFont="1" applyAlignment="1">
      <alignment horizontal="left" indent="2"/>
    </xf>
    <xf numFmtId="0" fontId="12" fillId="0" borderId="0" xfId="0" applyFont="1"/>
    <xf numFmtId="0" fontId="13" fillId="0" borderId="0" xfId="0" applyFont="1"/>
    <xf numFmtId="0" fontId="0" fillId="0" borderId="0" xfId="0" quotePrefix="1" applyAlignment="1">
      <alignment horizontal="center"/>
    </xf>
    <xf numFmtId="0" fontId="15" fillId="0" borderId="0" xfId="0" applyFont="1"/>
    <xf numFmtId="0" fontId="1" fillId="2" borderId="0" xfId="0" applyFont="1" applyFill="1" applyAlignment="1">
      <alignment horizontal="center"/>
    </xf>
    <xf numFmtId="0" fontId="1" fillId="0" borderId="0" xfId="0" applyFont="1" applyAlignment="1">
      <alignment horizontal="center"/>
    </xf>
    <xf numFmtId="0" fontId="0" fillId="0" borderId="0" xfId="0" applyFont="1" applyAlignment="1">
      <alignment horizontal="left" vertical="center"/>
    </xf>
    <xf numFmtId="0" fontId="18" fillId="0" borderId="0" xfId="0" applyFont="1" applyAlignment="1">
      <alignment horizontal="justify" vertical="center"/>
    </xf>
    <xf numFmtId="0" fontId="0" fillId="0" borderId="0" xfId="0" quotePrefix="1" applyFont="1" applyAlignment="1">
      <alignment vertical="center"/>
    </xf>
    <xf numFmtId="0" fontId="0" fillId="0" borderId="0" xfId="0" applyFont="1" applyAlignment="1">
      <alignment vertical="center"/>
    </xf>
    <xf numFmtId="14" fontId="0" fillId="0" borderId="0" xfId="0" applyNumberFormat="1"/>
    <xf numFmtId="0" fontId="0" fillId="0" borderId="0" xfId="0" applyFont="1" applyAlignment="1">
      <alignment horizontal="left" vertical="center" wrapText="1"/>
    </xf>
    <xf numFmtId="0" fontId="10" fillId="0" borderId="0" xfId="0" applyFont="1" applyAlignment="1">
      <alignment horizontal="center" vertical="center"/>
    </xf>
    <xf numFmtId="14" fontId="0" fillId="0" borderId="0" xfId="0" quotePrefix="1" applyNumberFormat="1"/>
    <xf numFmtId="1" fontId="0" fillId="0" borderId="0" xfId="0" applyNumberFormat="1"/>
    <xf numFmtId="0" fontId="1" fillId="0" borderId="0" xfId="0" applyFont="1" applyAlignment="1">
      <alignment horizontal="center" vertical="center"/>
    </xf>
    <xf numFmtId="0" fontId="0" fillId="0" borderId="0" xfId="0" applyFont="1" applyAlignment="1">
      <alignment wrapText="1"/>
    </xf>
    <xf numFmtId="0" fontId="0" fillId="0" borderId="0" xfId="0" quotePrefix="1" applyFont="1" applyAlignment="1">
      <alignment wrapText="1"/>
    </xf>
    <xf numFmtId="0" fontId="20" fillId="0" borderId="0" xfId="0" applyFont="1" applyAlignment="1" applyProtection="1">
      <alignment vertical="center"/>
      <protection hidden="1"/>
    </xf>
    <xf numFmtId="0" fontId="20" fillId="3" borderId="0" xfId="0" applyFont="1" applyFill="1" applyAlignment="1" applyProtection="1">
      <alignment horizontal="center" vertical="center"/>
      <protection hidden="1"/>
    </xf>
    <xf numFmtId="3" fontId="20" fillId="3" borderId="1" xfId="0" applyNumberFormat="1" applyFont="1" applyFill="1" applyBorder="1" applyAlignment="1" applyProtection="1">
      <alignment vertical="center"/>
      <protection hidden="1"/>
    </xf>
    <xf numFmtId="3" fontId="21" fillId="0" borderId="1" xfId="0" applyNumberFormat="1" applyFont="1" applyBorder="1" applyAlignment="1" applyProtection="1">
      <alignment horizontal="right" vertical="center"/>
      <protection hidden="1"/>
    </xf>
    <xf numFmtId="0" fontId="22" fillId="0" borderId="0" xfId="0" applyFont="1" applyAlignment="1">
      <alignment horizontal="center" vertical="center" wrapText="1"/>
    </xf>
    <xf numFmtId="0" fontId="0" fillId="0" borderId="0" xfId="0" applyFont="1" applyAlignment="1">
      <alignment horizontal="center" vertical="center" wrapText="1"/>
    </xf>
    <xf numFmtId="0" fontId="0" fillId="0" borderId="0" xfId="0" quotePrefix="1" applyFont="1"/>
    <xf numFmtId="0" fontId="22" fillId="0" borderId="0" xfId="0" applyFont="1" applyAlignment="1">
      <alignment horizontal="center"/>
    </xf>
    <xf numFmtId="3" fontId="24" fillId="3" borderId="1" xfId="0" applyNumberFormat="1" applyFont="1" applyFill="1" applyBorder="1" applyAlignment="1" applyProtection="1">
      <alignment vertical="center"/>
      <protection hidden="1"/>
    </xf>
    <xf numFmtId="3" fontId="24" fillId="0" borderId="1" xfId="0" applyNumberFormat="1" applyFont="1" applyBorder="1" applyAlignment="1" applyProtection="1">
      <alignment horizontal="center" vertical="center"/>
      <protection hidden="1"/>
    </xf>
    <xf numFmtId="0" fontId="25" fillId="0" borderId="0" xfId="0" applyFont="1" applyAlignment="1">
      <alignment horizontal="center"/>
    </xf>
    <xf numFmtId="3" fontId="26" fillId="3" borderId="1" xfId="0" applyNumberFormat="1" applyFont="1" applyFill="1" applyBorder="1" applyAlignment="1" applyProtection="1">
      <alignment vertical="center"/>
      <protection hidden="1"/>
    </xf>
    <xf numFmtId="0" fontId="27" fillId="0" borderId="0" xfId="0" applyFont="1" applyAlignment="1">
      <alignment horizontal="center" wrapText="1"/>
    </xf>
    <xf numFmtId="0" fontId="14" fillId="0" borderId="0" xfId="0" applyFont="1"/>
    <xf numFmtId="0" fontId="0" fillId="0" borderId="0" xfId="0" applyFont="1" applyAlignment="1">
      <alignment horizontal="left" vertical="center"/>
    </xf>
    <xf numFmtId="0" fontId="0" fillId="0" borderId="0" xfId="0" applyAlignment="1">
      <alignment horizontal="center"/>
    </xf>
    <xf numFmtId="0" fontId="10" fillId="0" borderId="0" xfId="0" applyFont="1" applyAlignment="1">
      <alignment horizontal="left" vertical="center"/>
    </xf>
    <xf numFmtId="0" fontId="30" fillId="0" borderId="0" xfId="0" applyFont="1" applyAlignment="1" applyProtection="1">
      <alignment vertical="center"/>
      <protection hidden="1"/>
    </xf>
    <xf numFmtId="0" fontId="2" fillId="4" borderId="0" xfId="0" applyFont="1" applyFill="1" applyAlignment="1" applyProtection="1">
      <alignment horizontal="center" vertical="center"/>
      <protection hidden="1"/>
    </xf>
    <xf numFmtId="0" fontId="1" fillId="5" borderId="0" xfId="0" applyFont="1" applyFill="1" applyAlignment="1" applyProtection="1">
      <alignment horizontal="center" vertical="center"/>
      <protection hidden="1"/>
    </xf>
    <xf numFmtId="0" fontId="1" fillId="0" borderId="2" xfId="0" applyFont="1" applyBorder="1" applyAlignment="1" applyProtection="1">
      <alignment vertical="center"/>
      <protection hidden="1"/>
    </xf>
    <xf numFmtId="3" fontId="1" fillId="0" borderId="2" xfId="0" applyNumberFormat="1" applyFont="1" applyBorder="1" applyAlignment="1" applyProtection="1">
      <alignment horizontal="right" vertical="center"/>
      <protection hidden="1"/>
    </xf>
    <xf numFmtId="3" fontId="1" fillId="0" borderId="2" xfId="0" applyNumberFormat="1" applyFont="1" applyBorder="1" applyAlignment="1" applyProtection="1">
      <alignment vertical="center"/>
      <protection hidden="1"/>
    </xf>
    <xf numFmtId="0" fontId="1" fillId="0" borderId="1" xfId="0" applyFont="1" applyBorder="1" applyAlignment="1" applyProtection="1">
      <alignment vertical="center"/>
      <protection hidden="1"/>
    </xf>
    <xf numFmtId="3" fontId="1" fillId="0" borderId="1" xfId="0" applyNumberFormat="1" applyFont="1" applyBorder="1" applyAlignment="1" applyProtection="1">
      <alignment horizontal="right" vertical="center"/>
      <protection hidden="1"/>
    </xf>
    <xf numFmtId="3" fontId="1" fillId="6" borderId="1" xfId="0" applyNumberFormat="1" applyFont="1" applyFill="1" applyBorder="1" applyAlignment="1" applyProtection="1">
      <alignment horizontal="right" vertical="center"/>
      <protection hidden="1"/>
    </xf>
    <xf numFmtId="0" fontId="10" fillId="0" borderId="0" xfId="0" applyFont="1" applyAlignment="1">
      <alignment horizontal="center"/>
    </xf>
    <xf numFmtId="0" fontId="31" fillId="0" borderId="0" xfId="0" applyFont="1" applyAlignment="1" applyProtection="1">
      <alignment horizontal="center" vertical="center"/>
      <protection hidden="1"/>
    </xf>
    <xf numFmtId="0" fontId="0" fillId="7" borderId="0" xfId="0" applyFill="1"/>
    <xf numFmtId="0" fontId="9" fillId="7" borderId="0" xfId="0" applyFont="1" applyFill="1" applyAlignment="1">
      <alignment horizontal="center"/>
    </xf>
    <xf numFmtId="0" fontId="1" fillId="7" borderId="0" xfId="0" applyFont="1" applyFill="1" applyAlignment="1">
      <alignment horizontal="left"/>
    </xf>
    <xf numFmtId="0" fontId="1" fillId="7" borderId="0" xfId="0" applyFont="1" applyFill="1" applyAlignment="1">
      <alignment horizontal="center"/>
    </xf>
    <xf numFmtId="17" fontId="2" fillId="4" borderId="0" xfId="0" applyNumberFormat="1" applyFont="1" applyFill="1" applyAlignment="1" applyProtection="1">
      <alignment horizontal="center" vertical="center"/>
      <protection hidden="1"/>
    </xf>
    <xf numFmtId="0" fontId="0" fillId="2" borderId="0" xfId="0" applyFont="1" applyFill="1"/>
    <xf numFmtId="0" fontId="1" fillId="0" borderId="2" xfId="0" applyFont="1" applyBorder="1" applyAlignment="1" applyProtection="1">
      <alignment horizontal="center" vertical="center"/>
      <protection hidden="1"/>
    </xf>
    <xf numFmtId="0" fontId="32" fillId="0" borderId="0" xfId="0" applyFont="1" applyAlignment="1">
      <alignment horizontal="right"/>
    </xf>
    <xf numFmtId="0" fontId="0" fillId="0" borderId="0" xfId="0" applyFont="1" applyAlignment="1">
      <alignment horizontal="right"/>
    </xf>
    <xf numFmtId="0" fontId="1" fillId="0" borderId="3" xfId="0" applyFont="1" applyBorder="1" applyAlignment="1" applyProtection="1">
      <alignment vertical="center"/>
      <protection hidden="1"/>
    </xf>
    <xf numFmtId="3" fontId="1" fillId="0" borderId="0" xfId="0" applyNumberFormat="1" applyFont="1" applyBorder="1" applyAlignment="1" applyProtection="1">
      <alignment horizontal="right" vertical="center"/>
      <protection hidden="1"/>
    </xf>
    <xf numFmtId="0" fontId="0" fillId="0" borderId="0" xfId="0" applyBorder="1"/>
    <xf numFmtId="3" fontId="1" fillId="0" borderId="2" xfId="0" applyNumberFormat="1" applyFont="1" applyBorder="1" applyAlignment="1" applyProtection="1">
      <alignment horizontal="right" vertical="center" indent="1"/>
      <protection hidden="1"/>
    </xf>
    <xf numFmtId="0" fontId="11" fillId="0" borderId="0" xfId="0" applyFont="1"/>
    <xf numFmtId="0" fontId="10" fillId="0" borderId="0" xfId="0" quotePrefix="1" applyFont="1"/>
    <xf numFmtId="0" fontId="22" fillId="0" borderId="0" xfId="0" quotePrefix="1" applyFont="1"/>
    <xf numFmtId="0" fontId="33" fillId="0" borderId="0" xfId="0" applyFont="1" applyAlignment="1">
      <alignment vertical="center"/>
    </xf>
    <xf numFmtId="0" fontId="33" fillId="0" borderId="0" xfId="0" applyFont="1" applyAlignment="1">
      <alignment horizontal="center" vertical="center"/>
    </xf>
    <xf numFmtId="0" fontId="34" fillId="8" borderId="0" xfId="0" applyFont="1" applyFill="1" applyAlignment="1">
      <alignment horizontal="center" vertical="center"/>
    </xf>
    <xf numFmtId="0" fontId="33" fillId="0" borderId="0" xfId="0" applyFont="1" applyAlignment="1">
      <alignment horizontal="left" vertical="center"/>
    </xf>
    <xf numFmtId="164" fontId="33" fillId="9" borderId="0" xfId="0" applyNumberFormat="1" applyFont="1" applyFill="1" applyAlignment="1">
      <alignment horizontal="center" vertical="center"/>
    </xf>
    <xf numFmtId="0" fontId="35" fillId="0" borderId="0" xfId="0" applyFont="1" applyAlignment="1">
      <alignment horizontal="left" vertical="center"/>
    </xf>
    <xf numFmtId="0" fontId="35" fillId="0" borderId="0" xfId="0" applyFont="1" applyAlignment="1">
      <alignment horizontal="center" vertical="center"/>
    </xf>
    <xf numFmtId="17" fontId="33" fillId="10" borderId="4" xfId="0" applyNumberFormat="1" applyFont="1" applyFill="1" applyBorder="1" applyAlignment="1">
      <alignment horizontal="left" vertical="center"/>
    </xf>
    <xf numFmtId="0" fontId="33" fillId="10" borderId="4" xfId="0" applyFont="1" applyFill="1" applyBorder="1" applyAlignment="1">
      <alignment horizontal="center" vertical="center"/>
    </xf>
    <xf numFmtId="0" fontId="33" fillId="10" borderId="5" xfId="0" applyFont="1" applyFill="1" applyBorder="1" applyAlignment="1">
      <alignment horizontal="center" vertical="center"/>
    </xf>
    <xf numFmtId="17" fontId="33" fillId="11" borderId="6" xfId="0" applyNumberFormat="1" applyFont="1" applyFill="1" applyBorder="1" applyAlignment="1">
      <alignment horizontal="left" vertical="center"/>
    </xf>
    <xf numFmtId="0" fontId="33" fillId="11" borderId="6" xfId="0" applyFont="1" applyFill="1" applyBorder="1" applyAlignment="1">
      <alignment horizontal="center" vertical="center"/>
    </xf>
    <xf numFmtId="0" fontId="33" fillId="11" borderId="7" xfId="0" applyFont="1" applyFill="1" applyBorder="1" applyAlignment="1">
      <alignment horizontal="center" vertical="center"/>
    </xf>
    <xf numFmtId="17" fontId="33" fillId="10" borderId="6" xfId="0" applyNumberFormat="1" applyFont="1" applyFill="1" applyBorder="1" applyAlignment="1">
      <alignment horizontal="left" vertical="center"/>
    </xf>
    <xf numFmtId="0" fontId="33" fillId="10" borderId="6" xfId="0" applyFont="1" applyFill="1" applyBorder="1" applyAlignment="1">
      <alignment horizontal="center" vertical="center"/>
    </xf>
    <xf numFmtId="0" fontId="33" fillId="10" borderId="7" xfId="0" applyFont="1" applyFill="1" applyBorder="1" applyAlignment="1">
      <alignment horizontal="center" vertical="center"/>
    </xf>
    <xf numFmtId="17" fontId="33" fillId="11" borderId="8" xfId="0" applyNumberFormat="1" applyFont="1" applyFill="1" applyBorder="1" applyAlignment="1">
      <alignment horizontal="left" vertical="center"/>
    </xf>
    <xf numFmtId="0" fontId="33" fillId="11" borderId="8" xfId="0" applyFont="1" applyFill="1" applyBorder="1" applyAlignment="1">
      <alignment horizontal="center" vertical="center"/>
    </xf>
    <xf numFmtId="0" fontId="33" fillId="11" borderId="0" xfId="0" applyFont="1" applyFill="1" applyAlignment="1">
      <alignment horizontal="center" vertical="center"/>
    </xf>
    <xf numFmtId="164" fontId="0" fillId="9" borderId="0" xfId="0" applyNumberFormat="1" applyFont="1" applyFill="1" applyAlignment="1">
      <alignment horizontal="center" vertical="center"/>
    </xf>
    <xf numFmtId="0" fontId="1" fillId="0" borderId="0" xfId="0" applyFont="1" applyAlignment="1">
      <alignment vertical="center"/>
    </xf>
    <xf numFmtId="0" fontId="16" fillId="0" borderId="0" xfId="0" applyFont="1" applyAlignment="1">
      <alignment horizontal="center" vertical="center"/>
    </xf>
    <xf numFmtId="0" fontId="10" fillId="0" borderId="0" xfId="0" applyFont="1" applyAlignment="1">
      <alignment vertical="center"/>
    </xf>
    <xf numFmtId="0" fontId="36" fillId="0" borderId="0" xfId="0" applyFont="1" applyAlignment="1">
      <alignment horizontal="left" vertical="center"/>
    </xf>
    <xf numFmtId="0" fontId="37" fillId="12" borderId="0" xfId="0" applyFont="1" applyFill="1" applyAlignment="1">
      <alignment vertical="center"/>
    </xf>
    <xf numFmtId="0" fontId="38" fillId="12" borderId="0" xfId="0" applyFont="1" applyFill="1" applyAlignment="1">
      <alignment vertical="center"/>
    </xf>
    <xf numFmtId="0" fontId="38" fillId="12" borderId="0" xfId="0" applyFont="1" applyFill="1" applyAlignment="1">
      <alignment horizontal="center" vertical="center"/>
    </xf>
    <xf numFmtId="0" fontId="0" fillId="0" borderId="1" xfId="0" applyBorder="1"/>
    <xf numFmtId="0" fontId="3" fillId="0" borderId="1" xfId="0" applyFont="1" applyBorder="1"/>
    <xf numFmtId="0" fontId="0" fillId="0" borderId="1" xfId="0" applyBorder="1" applyAlignment="1">
      <alignment horizontal="center"/>
    </xf>
    <xf numFmtId="0" fontId="39" fillId="12" borderId="0" xfId="0" applyFont="1" applyFill="1" applyAlignment="1">
      <alignment vertical="center"/>
    </xf>
    <xf numFmtId="0" fontId="41" fillId="0" borderId="10" xfId="1" applyFont="1" applyBorder="1" applyProtection="1">
      <protection hidden="1"/>
    </xf>
    <xf numFmtId="0" fontId="41" fillId="0" borderId="10" xfId="1" applyFont="1" applyBorder="1" applyAlignment="1" applyProtection="1">
      <alignment horizontal="center"/>
      <protection hidden="1"/>
    </xf>
    <xf numFmtId="0" fontId="41" fillId="0" borderId="10" xfId="1" applyFont="1" applyBorder="1" applyAlignment="1" applyProtection="1">
      <alignment horizontal="left"/>
      <protection hidden="1"/>
    </xf>
    <xf numFmtId="165" fontId="41" fillId="0" borderId="10" xfId="2" applyNumberFormat="1" applyFont="1" applyBorder="1" applyAlignment="1" applyProtection="1">
      <alignment horizontal="right" indent="1"/>
      <protection hidden="1"/>
    </xf>
    <xf numFmtId="0" fontId="41" fillId="0" borderId="1" xfId="1" applyFont="1" applyBorder="1" applyProtection="1">
      <protection hidden="1"/>
    </xf>
    <xf numFmtId="0" fontId="41" fillId="0" borderId="1" xfId="1" applyFont="1" applyBorder="1" applyAlignment="1" applyProtection="1">
      <alignment horizontal="center"/>
      <protection hidden="1"/>
    </xf>
    <xf numFmtId="0" fontId="41" fillId="0" borderId="1" xfId="1" applyFont="1" applyBorder="1" applyAlignment="1" applyProtection="1">
      <alignment horizontal="left"/>
      <protection hidden="1"/>
    </xf>
    <xf numFmtId="165" fontId="41" fillId="0" borderId="1" xfId="2" applyNumberFormat="1" applyFont="1" applyBorder="1" applyAlignment="1" applyProtection="1">
      <alignment horizontal="right" indent="1"/>
      <protection hidden="1"/>
    </xf>
    <xf numFmtId="0" fontId="20" fillId="5" borderId="0" xfId="1" applyFont="1" applyFill="1" applyAlignment="1" applyProtection="1">
      <alignment horizontal="center" wrapText="1"/>
      <protection hidden="1"/>
    </xf>
    <xf numFmtId="3" fontId="43" fillId="13" borderId="0" xfId="1" applyNumberFormat="1" applyFont="1" applyFill="1" applyAlignment="1" applyProtection="1">
      <alignment horizontal="center"/>
      <protection hidden="1"/>
    </xf>
    <xf numFmtId="0" fontId="22" fillId="0" borderId="0" xfId="0" applyFont="1" applyAlignment="1">
      <alignment horizontal="right"/>
    </xf>
    <xf numFmtId="0" fontId="42" fillId="14" borderId="9" xfId="1" applyFont="1" applyFill="1" applyBorder="1" applyAlignment="1" applyProtection="1">
      <alignment vertical="top"/>
      <protection hidden="1"/>
    </xf>
    <xf numFmtId="0" fontId="42" fillId="14" borderId="9" xfId="1" applyFont="1" applyFill="1" applyBorder="1" applyAlignment="1" applyProtection="1">
      <alignment horizontal="center" vertical="top"/>
      <protection hidden="1"/>
    </xf>
    <xf numFmtId="0" fontId="42" fillId="14" borderId="9" xfId="1" applyFont="1" applyFill="1" applyBorder="1" applyAlignment="1" applyProtection="1">
      <alignment horizontal="left" vertical="top"/>
      <protection hidden="1"/>
    </xf>
    <xf numFmtId="0" fontId="42" fillId="14" borderId="9" xfId="1" applyFont="1" applyFill="1" applyBorder="1" applyAlignment="1" applyProtection="1">
      <alignment horizontal="center" vertical="top" wrapText="1"/>
      <protection hidden="1"/>
    </xf>
    <xf numFmtId="0" fontId="42" fillId="14" borderId="9" xfId="1" applyFont="1" applyFill="1" applyBorder="1" applyAlignment="1" applyProtection="1">
      <alignment horizontal="left" vertical="top" wrapText="1"/>
      <protection hidden="1"/>
    </xf>
    <xf numFmtId="0" fontId="0" fillId="0" borderId="0" xfId="0" applyAlignment="1">
      <alignment horizontal="center"/>
    </xf>
    <xf numFmtId="0" fontId="45" fillId="0" borderId="0" xfId="0" applyFont="1"/>
    <xf numFmtId="0" fontId="0" fillId="0" borderId="0" xfId="0" applyAlignment="1">
      <alignment horizontal="center"/>
    </xf>
    <xf numFmtId="0" fontId="32" fillId="0" borderId="0" xfId="0" applyFont="1"/>
    <xf numFmtId="0" fontId="46" fillId="0" borderId="0" xfId="0" applyFont="1"/>
    <xf numFmtId="0" fontId="0" fillId="0" borderId="0" xfId="0" applyAlignment="1">
      <alignment horizontal="left" wrapText="1"/>
    </xf>
    <xf numFmtId="0" fontId="0" fillId="15" borderId="0" xfId="0" applyFill="1"/>
    <xf numFmtId="0" fontId="0" fillId="2" borderId="0" xfId="0" applyFill="1" applyAlignment="1">
      <alignment horizontal="center"/>
    </xf>
    <xf numFmtId="0" fontId="10" fillId="2" borderId="2" xfId="0" applyFont="1" applyFill="1" applyBorder="1"/>
    <xf numFmtId="0" fontId="10" fillId="2" borderId="1" xfId="0" applyFont="1" applyFill="1" applyBorder="1"/>
    <xf numFmtId="0" fontId="10" fillId="2" borderId="3" xfId="0" applyFont="1" applyFill="1" applyBorder="1"/>
    <xf numFmtId="3" fontId="24" fillId="2" borderId="1" xfId="0" applyNumberFormat="1" applyFont="1" applyFill="1" applyBorder="1" applyAlignment="1" applyProtection="1">
      <alignment horizontal="center" vertical="center"/>
      <protection hidden="1"/>
    </xf>
    <xf numFmtId="0" fontId="10" fillId="2" borderId="1" xfId="0" applyFont="1" applyFill="1" applyBorder="1" applyAlignment="1">
      <alignment horizontal="left"/>
    </xf>
    <xf numFmtId="0" fontId="10" fillId="2" borderId="3" xfId="0" applyFont="1" applyFill="1" applyBorder="1" applyAlignment="1">
      <alignment horizontal="left"/>
    </xf>
    <xf numFmtId="3" fontId="24" fillId="2" borderId="2" xfId="0" applyNumberFormat="1" applyFont="1" applyFill="1" applyBorder="1" applyAlignment="1" applyProtection="1">
      <alignment horizontal="center" vertical="center"/>
      <protection hidden="1"/>
    </xf>
    <xf numFmtId="3" fontId="24" fillId="2" borderId="3" xfId="0" applyNumberFormat="1" applyFont="1" applyFill="1" applyBorder="1" applyAlignment="1" applyProtection="1">
      <alignment horizontal="center" vertical="center"/>
      <protection hidden="1"/>
    </xf>
    <xf numFmtId="0" fontId="47" fillId="16" borderId="0" xfId="0" applyFont="1" applyFill="1"/>
    <xf numFmtId="0" fontId="48" fillId="0" borderId="0" xfId="0" applyFont="1"/>
    <xf numFmtId="0" fontId="0" fillId="0" borderId="0" xfId="0" applyFill="1" applyBorder="1"/>
    <xf numFmtId="0" fontId="3" fillId="0" borderId="0" xfId="0" applyFont="1" applyFill="1" applyBorder="1"/>
    <xf numFmtId="0" fontId="47" fillId="12" borderId="0" xfId="0" applyFont="1" applyFill="1" applyAlignment="1">
      <alignment vertical="center"/>
    </xf>
    <xf numFmtId="0" fontId="0" fillId="0" borderId="0" xfId="0" applyProtection="1">
      <protection hidden="1"/>
    </xf>
    <xf numFmtId="0" fontId="49" fillId="0" borderId="0" xfId="0" applyFont="1" applyProtection="1">
      <protection hidden="1"/>
    </xf>
    <xf numFmtId="0" fontId="0" fillId="0" borderId="0" xfId="0" applyAlignment="1">
      <alignment horizontal="center"/>
    </xf>
    <xf numFmtId="0" fontId="0" fillId="0" borderId="0" xfId="0" applyAlignment="1">
      <alignment horizontal="right" vertical="center"/>
    </xf>
    <xf numFmtId="0" fontId="10" fillId="0" borderId="1" xfId="0" applyFont="1" applyBorder="1"/>
    <xf numFmtId="3" fontId="10" fillId="0" borderId="1" xfId="0" applyNumberFormat="1" applyFont="1" applyBorder="1"/>
    <xf numFmtId="0" fontId="10" fillId="0" borderId="0" xfId="0" applyFont="1" applyFill="1" applyBorder="1"/>
    <xf numFmtId="0" fontId="9" fillId="0" borderId="0" xfId="0" applyFont="1" applyAlignment="1">
      <alignment horizontal="left"/>
    </xf>
    <xf numFmtId="0" fontId="0" fillId="0" borderId="0" xfId="0" applyAlignment="1"/>
    <xf numFmtId="0" fontId="54" fillId="0" borderId="0" xfId="0" applyFont="1" applyAlignment="1">
      <alignment horizontal="justify" vertical="center"/>
    </xf>
    <xf numFmtId="0" fontId="19" fillId="0" borderId="0" xfId="0" applyFont="1" applyAlignment="1">
      <alignment horizontal="justify" vertical="center"/>
    </xf>
    <xf numFmtId="0" fontId="19" fillId="0" borderId="0" xfId="0" applyFont="1" applyAlignment="1">
      <alignment horizontal="left" vertical="center" wrapText="1"/>
    </xf>
    <xf numFmtId="0" fontId="55" fillId="0" borderId="0" xfId="0" applyFont="1" applyAlignment="1">
      <alignment horizontal="justify" vertical="center"/>
    </xf>
    <xf numFmtId="0" fontId="1" fillId="0" borderId="0" xfId="0" applyFont="1" applyAlignment="1">
      <alignment wrapText="1"/>
    </xf>
    <xf numFmtId="0" fontId="51" fillId="0" borderId="0" xfId="0" applyFont="1" applyAlignment="1" applyProtection="1">
      <alignment horizontal="center"/>
      <protection hidden="1"/>
    </xf>
    <xf numFmtId="0" fontId="52" fillId="0" borderId="0" xfId="0" applyFont="1" applyAlignment="1" applyProtection="1">
      <alignment horizontal="center"/>
      <protection hidden="1"/>
    </xf>
    <xf numFmtId="0" fontId="53" fillId="12" borderId="0" xfId="0" applyFont="1" applyFill="1" applyAlignment="1" applyProtection="1">
      <alignment horizontal="left"/>
      <protection hidden="1"/>
    </xf>
    <xf numFmtId="0" fontId="37" fillId="12" borderId="0" xfId="0" applyFont="1" applyFill="1" applyAlignment="1">
      <alignment horizontal="left" vertical="center"/>
    </xf>
    <xf numFmtId="0" fontId="53" fillId="14" borderId="0" xfId="3" applyFont="1" applyFill="1" applyAlignment="1">
      <alignment horizontal="center"/>
    </xf>
    <xf numFmtId="0" fontId="0" fillId="0" borderId="0" xfId="0" quotePrefix="1" applyFont="1" applyAlignment="1">
      <alignment horizontal="left" vertical="center" wrapText="1"/>
    </xf>
    <xf numFmtId="0" fontId="0" fillId="0" borderId="0" xfId="0" applyFont="1" applyAlignment="1">
      <alignment horizontal="left" vertical="center" wrapText="1"/>
    </xf>
    <xf numFmtId="0" fontId="0" fillId="0" borderId="0" xfId="0" applyFont="1" applyAlignment="1">
      <alignment horizontal="left" vertical="center"/>
    </xf>
    <xf numFmtId="0" fontId="0" fillId="0" borderId="0" xfId="0" quotePrefix="1" applyFont="1" applyAlignment="1">
      <alignment horizontal="left" vertical="center"/>
    </xf>
    <xf numFmtId="0" fontId="0" fillId="0" borderId="0" xfId="0" applyAlignment="1">
      <alignment horizontal="center"/>
    </xf>
    <xf numFmtId="0" fontId="18" fillId="0" borderId="0" xfId="0" applyFont="1" applyAlignment="1">
      <alignment horizontal="left" vertical="center"/>
    </xf>
    <xf numFmtId="0" fontId="19" fillId="0" borderId="0" xfId="0" applyFont="1" applyAlignment="1">
      <alignment horizontal="left" vertical="center"/>
    </xf>
    <xf numFmtId="0" fontId="14" fillId="0" borderId="0" xfId="0" applyFont="1" applyAlignment="1">
      <alignment horizontal="left" vertical="center"/>
    </xf>
    <xf numFmtId="0" fontId="44" fillId="0" borderId="0" xfId="0" applyFont="1" applyAlignment="1">
      <alignment horizontal="left" vertical="center"/>
    </xf>
    <xf numFmtId="0" fontId="19" fillId="0" borderId="0" xfId="0" quotePrefix="1" applyFont="1" applyAlignment="1">
      <alignment horizontal="left" vertical="center"/>
    </xf>
    <xf numFmtId="0" fontId="3" fillId="0" borderId="0" xfId="0" applyFont="1" applyAlignment="1">
      <alignment horizontal="left" vertical="center" wrapText="1"/>
    </xf>
    <xf numFmtId="0" fontId="5" fillId="0" borderId="0" xfId="0" applyFont="1" applyAlignment="1">
      <alignment horizontal="left" vertical="center"/>
    </xf>
    <xf numFmtId="0" fontId="10" fillId="0" borderId="0" xfId="0" applyFont="1" applyAlignment="1">
      <alignment horizontal="left" vertical="center"/>
    </xf>
    <xf numFmtId="0" fontId="0" fillId="0" borderId="0" xfId="0" quotePrefix="1" applyFont="1" applyAlignment="1">
      <alignment horizontal="left" wrapText="1"/>
    </xf>
    <xf numFmtId="0" fontId="0" fillId="0" borderId="0" xfId="0" applyAlignment="1">
      <alignment horizontal="left" wrapText="1"/>
    </xf>
    <xf numFmtId="0" fontId="5" fillId="0" borderId="0" xfId="0" applyFont="1" applyAlignment="1">
      <alignment horizontal="left" vertical="center" wrapText="1"/>
    </xf>
    <xf numFmtId="0" fontId="1" fillId="0" borderId="0" xfId="0" applyFont="1" applyAlignment="1">
      <alignment horizontal="left" wrapText="1"/>
    </xf>
    <xf numFmtId="0" fontId="0" fillId="0" borderId="0" xfId="0" applyAlignment="1">
      <alignment horizontal="right" vertical="center"/>
    </xf>
    <xf numFmtId="0" fontId="54" fillId="0" borderId="0" xfId="0" applyFont="1" applyAlignment="1">
      <alignment horizontal="left" vertical="center"/>
    </xf>
    <xf numFmtId="0" fontId="19" fillId="0" borderId="0" xfId="0" applyFont="1" applyAlignment="1">
      <alignment horizontal="left" vertical="center" wrapText="1"/>
    </xf>
    <xf numFmtId="0" fontId="19" fillId="0" borderId="0" xfId="0" applyFont="1" applyAlignment="1">
      <alignment vertical="center"/>
    </xf>
  </cellXfs>
  <cellStyles count="4">
    <cellStyle name="Comma 2" xfId="2" xr:uid="{253B0BFF-025B-487B-9840-DB66796CA159}"/>
    <cellStyle name="Hyperlink" xfId="3" builtinId="8"/>
    <cellStyle name="Normal" xfId="0" builtinId="0"/>
    <cellStyle name="Normal 2 2" xfId="1" xr:uid="{972AC44B-7FB1-4B8E-9050-7ED3600DDC12}"/>
  </cellStyles>
  <dxfs count="7">
    <dxf>
      <font>
        <b val="0"/>
        <i val="0"/>
        <strike val="0"/>
        <condense val="0"/>
        <extend val="0"/>
        <outline val="0"/>
        <shadow val="0"/>
        <u val="none"/>
        <vertAlign val="baseline"/>
        <sz val="11"/>
        <color theme="1"/>
        <name val="Garamond"/>
        <scheme val="none"/>
      </font>
      <fill>
        <patternFill patternType="solid">
          <fgColor theme="4" tint="0.79998168889431442"/>
          <bgColor theme="4" tint="0.79998168889431442"/>
        </patternFill>
      </fill>
      <alignment horizontal="center" vertical="center" textRotation="0" wrapText="0" relativeIndent="0" justifyLastLine="0" shrinkToFit="0" readingOrder="0"/>
    </dxf>
    <dxf>
      <font>
        <b val="0"/>
        <i val="0"/>
        <strike val="0"/>
        <condense val="0"/>
        <extend val="0"/>
        <outline val="0"/>
        <shadow val="0"/>
        <u val="none"/>
        <vertAlign val="baseline"/>
        <sz val="11"/>
        <color theme="1"/>
        <name val="Garamond"/>
        <scheme val="none"/>
      </font>
      <fill>
        <patternFill patternType="solid">
          <fgColor theme="4" tint="0.79998168889431442"/>
          <bgColor theme="4" tint="0.79998168889431442"/>
        </patternFill>
      </fill>
      <alignment horizontal="center" vertical="center" textRotation="0" wrapText="0" relativeIndent="0" justifyLastLine="0" shrinkToFit="0" readingOrder="0"/>
    </dxf>
    <dxf>
      <font>
        <b val="0"/>
        <i val="0"/>
        <strike val="0"/>
        <condense val="0"/>
        <extend val="0"/>
        <outline val="0"/>
        <shadow val="0"/>
        <u val="none"/>
        <vertAlign val="baseline"/>
        <sz val="11"/>
        <color theme="1"/>
        <name val="Garamond"/>
        <scheme val="none"/>
      </font>
      <fill>
        <patternFill patternType="solid">
          <fgColor theme="4" tint="0.79998168889431442"/>
          <bgColor theme="4" tint="0.79998168889431442"/>
        </patternFill>
      </fill>
      <alignment horizontal="center" vertical="center" textRotation="0" wrapText="0" relativeIndent="0" justifyLastLine="0" shrinkToFit="0" readingOrder="0"/>
      <border diagonalUp="0" diagonalDown="0" outline="0">
        <left/>
        <right style="thin">
          <color theme="0"/>
        </right>
        <top/>
        <bottom/>
      </border>
    </dxf>
    <dxf>
      <font>
        <b val="0"/>
        <i val="0"/>
        <strike val="0"/>
        <condense val="0"/>
        <extend val="0"/>
        <outline val="0"/>
        <shadow val="0"/>
        <u val="none"/>
        <vertAlign val="baseline"/>
        <sz val="11"/>
        <color theme="1"/>
        <name val="Garamond"/>
        <scheme val="none"/>
      </font>
      <fill>
        <patternFill patternType="solid">
          <fgColor theme="4" tint="0.79998168889431442"/>
          <bgColor theme="4" tint="0.79998168889431442"/>
        </patternFill>
      </fill>
      <alignment horizontal="center" vertical="center" textRotation="0" wrapText="0" relativeIndent="0" justifyLastLine="0" shrinkToFit="0" readingOrder="0"/>
      <border diagonalUp="0" diagonalDown="0" outline="0">
        <left/>
        <right style="thin">
          <color theme="0"/>
        </right>
        <top/>
        <bottom/>
      </border>
    </dxf>
    <dxf>
      <font>
        <b val="0"/>
        <i val="0"/>
        <strike val="0"/>
        <condense val="0"/>
        <extend val="0"/>
        <outline val="0"/>
        <shadow val="0"/>
        <u val="none"/>
        <vertAlign val="baseline"/>
        <sz val="11"/>
        <color theme="1"/>
        <name val="Garamond"/>
        <scheme val="none"/>
      </font>
      <numFmt numFmtId="22" formatCode="mmm\-yy"/>
      <fill>
        <patternFill patternType="solid">
          <fgColor theme="4" tint="0.79998168889431442"/>
          <bgColor theme="4" tint="0.79998168889431442"/>
        </patternFill>
      </fill>
      <alignment horizontal="left" vertical="center" textRotation="0" wrapText="0" relativeIndent="0" justifyLastLine="0" shrinkToFit="0" readingOrder="0"/>
      <border diagonalUp="0" diagonalDown="0" outline="0">
        <left/>
        <right style="thin">
          <color theme="0"/>
        </right>
        <top/>
        <bottom/>
      </border>
    </dxf>
    <dxf>
      <font>
        <strike val="0"/>
        <outline val="0"/>
        <shadow val="0"/>
        <u val="none"/>
        <vertAlign val="baseline"/>
        <color theme="1"/>
        <name val="Garamond"/>
        <scheme val="none"/>
      </font>
      <alignment vertical="center" textRotation="0" wrapText="0" relativeIndent="0" justifyLastLine="0" shrinkToFit="0" readingOrder="0"/>
    </dxf>
    <dxf>
      <font>
        <b/>
        <i val="0"/>
        <strike val="0"/>
        <condense val="0"/>
        <extend val="0"/>
        <outline val="0"/>
        <shadow val="0"/>
        <u val="none"/>
        <vertAlign val="baseline"/>
        <sz val="11"/>
        <color theme="1"/>
        <name val="Garamond"/>
        <scheme val="none"/>
      </font>
      <alignment horizontal="center" vertical="center" textRotation="0" wrapText="0" relativeIndent="0" justifyLastLine="0" shrinkToFit="0" readingOrder="0"/>
    </dxf>
  </dxfs>
  <tableStyles count="0" defaultTableStyle="TableStyleMedium2" defaultPivotStyle="PivotStyleLight16"/>
  <colors>
    <mruColors>
      <color rgb="FF006600"/>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worksheet" Target="worksheets/sheet13.xml" Id="rId13" /><Relationship Type="http://schemas.openxmlformats.org/officeDocument/2006/relationships/worksheet" Target="worksheets/sheet18.xml" Id="rId18" /><Relationship Type="http://schemas.openxmlformats.org/officeDocument/2006/relationships/worksheet" Target="worksheets/sheet3.xml" Id="rId3" /><Relationship Type="http://schemas.openxmlformats.org/officeDocument/2006/relationships/theme" Target="theme/theme1.xml" Id="rId21" /><Relationship Type="http://schemas.openxmlformats.org/officeDocument/2006/relationships/worksheet" Target="worksheets/sheet7.xml" Id="rId7" /><Relationship Type="http://schemas.openxmlformats.org/officeDocument/2006/relationships/worksheet" Target="worksheets/sheet12.xml" Id="rId12" /><Relationship Type="http://schemas.openxmlformats.org/officeDocument/2006/relationships/worksheet" Target="worksheets/sheet17.xml" Id="rId17" /><Relationship Type="http://schemas.openxmlformats.org/officeDocument/2006/relationships/calcChain" Target="calcChain.xml" Id="rId25" /><Relationship Type="http://schemas.openxmlformats.org/officeDocument/2006/relationships/worksheet" Target="worksheets/sheet2.xml" Id="rId2" /><Relationship Type="http://schemas.openxmlformats.org/officeDocument/2006/relationships/worksheet" Target="worksheets/sheet16.xml" Id="rId16" /><Relationship Type="http://schemas.openxmlformats.org/officeDocument/2006/relationships/externalLink" Target="externalLinks/externalLink2.xml" Id="rId20"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sheetMetadata" Target="metadata.xml" Id="rId24" /><Relationship Type="http://schemas.openxmlformats.org/officeDocument/2006/relationships/worksheet" Target="worksheets/sheet5.xml" Id="rId5" /><Relationship Type="http://schemas.openxmlformats.org/officeDocument/2006/relationships/worksheet" Target="worksheets/sheet15.xml" Id="rId15" /><Relationship Type="http://schemas.openxmlformats.org/officeDocument/2006/relationships/sharedStrings" Target="sharedStrings.xml" Id="rId23" /><Relationship Type="http://schemas.openxmlformats.org/officeDocument/2006/relationships/worksheet" Target="worksheets/sheet10.xml" Id="rId10" /><Relationship Type="http://schemas.openxmlformats.org/officeDocument/2006/relationships/externalLink" Target="externalLinks/externalLink1.xml" Id="rId19"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14.xml" Id="rId14" /><Relationship Type="http://schemas.openxmlformats.org/officeDocument/2006/relationships/styles" Target="styles.xml" Id="rId22" /><Relationship Type="http://schemas.openxmlformats.org/officeDocument/2006/relationships/customXml" Target="/customXML/item.xml" Id="R36eb4e8bf50e40bc" /></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cat>
            <c:numRef>
              <c:f>'Chart &amp; selected values'!$I$6:$I$11</c:f>
              <c:numCache>
                <c:formatCode>mmm\-yy</c:formatCode>
                <c:ptCount val="6"/>
                <c:pt idx="0">
                  <c:v>40544</c:v>
                </c:pt>
                <c:pt idx="1">
                  <c:v>40575</c:v>
                </c:pt>
                <c:pt idx="2">
                  <c:v>40603</c:v>
                </c:pt>
                <c:pt idx="3">
                  <c:v>40634</c:v>
                </c:pt>
                <c:pt idx="4">
                  <c:v>40664</c:v>
                </c:pt>
                <c:pt idx="5">
                  <c:v>40695</c:v>
                </c:pt>
              </c:numCache>
            </c:numRef>
          </c:cat>
          <c:val>
            <c:numRef>
              <c:f>'Chart &amp; selected values'!$J$6:$J$11</c:f>
              <c:numCache>
                <c:formatCode>General</c:formatCode>
                <c:ptCount val="6"/>
                <c:pt idx="0">
                  <c:v>20</c:v>
                </c:pt>
                <c:pt idx="1">
                  <c:v>50</c:v>
                </c:pt>
                <c:pt idx="2">
                  <c:v>60</c:v>
                </c:pt>
                <c:pt idx="3">
                  <c:v>20</c:v>
                </c:pt>
                <c:pt idx="4">
                  <c:v>25</c:v>
                </c:pt>
                <c:pt idx="5">
                  <c:v>54</c:v>
                </c:pt>
              </c:numCache>
            </c:numRef>
          </c:val>
          <c:extLst>
            <c:ext xmlns:c16="http://schemas.microsoft.com/office/drawing/2014/chart" uri="{C3380CC4-5D6E-409C-BE32-E72D297353CC}">
              <c16:uniqueId val="{00000000-33E8-4BD7-8298-96B495BECC6F}"/>
            </c:ext>
          </c:extLst>
        </c:ser>
        <c:dLbls>
          <c:showLegendKey val="0"/>
          <c:showVal val="0"/>
          <c:showCatName val="0"/>
          <c:showSerName val="0"/>
          <c:showPercent val="0"/>
          <c:showBubbleSize val="0"/>
        </c:dLbls>
        <c:gapWidth val="150"/>
        <c:axId val="473272320"/>
        <c:axId val="473273856"/>
      </c:barChart>
      <c:dateAx>
        <c:axId val="473272320"/>
        <c:scaling>
          <c:orientation val="minMax"/>
        </c:scaling>
        <c:delete val="0"/>
        <c:axPos val="b"/>
        <c:numFmt formatCode="mmm\-yy" sourceLinked="1"/>
        <c:majorTickMark val="out"/>
        <c:minorTickMark val="none"/>
        <c:tickLblPos val="nextTo"/>
        <c:txPr>
          <a:bodyPr/>
          <a:lstStyle/>
          <a:p>
            <a:pPr>
              <a:defRPr sz="800"/>
            </a:pPr>
            <a:endParaRPr lang="en-US"/>
          </a:p>
        </c:txPr>
        <c:crossAx val="473273856"/>
        <c:crosses val="autoZero"/>
        <c:auto val="1"/>
        <c:lblOffset val="100"/>
        <c:baseTimeUnit val="months"/>
      </c:dateAx>
      <c:valAx>
        <c:axId val="473273856"/>
        <c:scaling>
          <c:orientation val="minMax"/>
        </c:scaling>
        <c:delete val="0"/>
        <c:axPos val="l"/>
        <c:numFmt formatCode="General" sourceLinked="1"/>
        <c:majorTickMark val="out"/>
        <c:minorTickMark val="none"/>
        <c:tickLblPos val="nextTo"/>
        <c:txPr>
          <a:bodyPr/>
          <a:lstStyle/>
          <a:p>
            <a:pPr>
              <a:defRPr sz="800"/>
            </a:pPr>
            <a:endParaRPr lang="en-US"/>
          </a:p>
        </c:txPr>
        <c:crossAx val="473272320"/>
        <c:crosses val="autoZero"/>
        <c:crossBetween val="between"/>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Sheet1!$D$8</c:f>
              <c:strCache>
                <c:ptCount val="1"/>
                <c:pt idx="0">
                  <c:v>Results</c:v>
                </c:pt>
              </c:strCache>
            </c:strRef>
          </c:tx>
          <c:spPr>
            <a:solidFill>
              <a:schemeClr val="accent1"/>
            </a:solidFill>
            <a:ln>
              <a:noFill/>
            </a:ln>
            <a:effectLst/>
          </c:spPr>
          <c:invertIfNegative val="0"/>
          <c:cat>
            <c:strRef>
              <c:f>Sheet1!DateRange</c:f>
              <c:strCache>
                <c:ptCount val="5"/>
                <c:pt idx="0">
                  <c:v>January</c:v>
                </c:pt>
                <c:pt idx="1">
                  <c:v>February</c:v>
                </c:pt>
                <c:pt idx="2">
                  <c:v>March</c:v>
                </c:pt>
                <c:pt idx="3">
                  <c:v>April</c:v>
                </c:pt>
                <c:pt idx="4">
                  <c:v>May</c:v>
                </c:pt>
              </c:strCache>
            </c:strRef>
          </c:cat>
          <c:val>
            <c:numRef>
              <c:f>Sheet1!ResultsRange</c:f>
              <c:numCache>
                <c:formatCode>General</c:formatCode>
                <c:ptCount val="5"/>
                <c:pt idx="0">
                  <c:v>4213</c:v>
                </c:pt>
                <c:pt idx="1">
                  <c:v>3194</c:v>
                </c:pt>
                <c:pt idx="2">
                  <c:v>2541</c:v>
                </c:pt>
                <c:pt idx="3">
                  <c:v>1214</c:v>
                </c:pt>
                <c:pt idx="4">
                  <c:v>2154</c:v>
                </c:pt>
              </c:numCache>
            </c:numRef>
          </c:val>
          <c:extLst>
            <c:ext xmlns:c16="http://schemas.microsoft.com/office/drawing/2014/chart" uri="{C3380CC4-5D6E-409C-BE32-E72D297353CC}">
              <c16:uniqueId val="{00000002-C842-4347-8E83-47F11A3E342E}"/>
            </c:ext>
          </c:extLst>
        </c:ser>
        <c:dLbls>
          <c:showLegendKey val="0"/>
          <c:showVal val="0"/>
          <c:showCatName val="0"/>
          <c:showSerName val="0"/>
          <c:showPercent val="0"/>
          <c:showBubbleSize val="0"/>
        </c:dLbls>
        <c:gapWidth val="219"/>
        <c:overlap val="-27"/>
        <c:axId val="413424112"/>
        <c:axId val="413425096"/>
      </c:barChart>
      <c:catAx>
        <c:axId val="413424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3425096"/>
        <c:crosses val="autoZero"/>
        <c:auto val="1"/>
        <c:lblAlgn val="ctr"/>
        <c:lblOffset val="100"/>
        <c:noMultiLvlLbl val="0"/>
      </c:catAx>
      <c:valAx>
        <c:axId val="413425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34241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$C$$8</c:v>
          </c:tx>
          <c:spPr>
            <a:solidFill>
              <a:schemeClr val="accent1"/>
            </a:solidFill>
            <a:ln>
              <a:noFill/>
            </a:ln>
            <a:effectLst/>
          </c:spPr>
          <c:invertIfNegative val="0"/>
          <c:cat>
            <c:strRef>
              <c:f>Sheet1!DateRange</c:f>
              <c:strCache>
                <c:ptCount val="5"/>
                <c:pt idx="0">
                  <c:v>January</c:v>
                </c:pt>
                <c:pt idx="1">
                  <c:v>February</c:v>
                </c:pt>
                <c:pt idx="2">
                  <c:v>March</c:v>
                </c:pt>
                <c:pt idx="3">
                  <c:v>April</c:v>
                </c:pt>
                <c:pt idx="4">
                  <c:v>May</c:v>
                </c:pt>
              </c:strCache>
            </c:strRef>
          </c:cat>
          <c:val>
            <c:numRef>
              <c:f>Sheet1!ResultsRange</c:f>
              <c:numCache>
                <c:formatCode>General</c:formatCode>
                <c:ptCount val="5"/>
                <c:pt idx="0">
                  <c:v>4213</c:v>
                </c:pt>
                <c:pt idx="1">
                  <c:v>3194</c:v>
                </c:pt>
                <c:pt idx="2">
                  <c:v>2541</c:v>
                </c:pt>
                <c:pt idx="3">
                  <c:v>1214</c:v>
                </c:pt>
                <c:pt idx="4">
                  <c:v>2154</c:v>
                </c:pt>
              </c:numCache>
            </c:numRef>
          </c:val>
          <c:extLst>
            <c:ext xmlns:c16="http://schemas.microsoft.com/office/drawing/2014/chart" uri="{C3380CC4-5D6E-409C-BE32-E72D297353CC}">
              <c16:uniqueId val="{00000000-F874-4B52-9B00-536FD52DF7F0}"/>
            </c:ext>
          </c:extLst>
        </c:ser>
        <c:dLbls>
          <c:showLegendKey val="0"/>
          <c:showVal val="0"/>
          <c:showCatName val="0"/>
          <c:showSerName val="0"/>
          <c:showPercent val="0"/>
          <c:showBubbleSize val="0"/>
        </c:dLbls>
        <c:gapWidth val="219"/>
        <c:overlap val="-27"/>
        <c:axId val="720081952"/>
        <c:axId val="720078344"/>
      </c:barChart>
      <c:catAx>
        <c:axId val="720081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078344"/>
        <c:crosses val="autoZero"/>
        <c:auto val="1"/>
        <c:lblAlgn val="ctr"/>
        <c:lblOffset val="100"/>
        <c:noMultiLvlLbl val="0"/>
      </c:catAx>
      <c:valAx>
        <c:axId val="7200783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081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'Chart &amp; changing values'!$B$1</c:f>
              <c:strCache>
                <c:ptCount val="1"/>
                <c:pt idx="0">
                  <c:v>Smith</c:v>
                </c:pt>
              </c:strCache>
            </c:strRef>
          </c:tx>
          <c:spPr>
            <a:solidFill>
              <a:schemeClr val="accent1"/>
            </a:solidFill>
            <a:ln>
              <a:noFill/>
            </a:ln>
            <a:effectLst/>
          </c:spPr>
          <c:invertIfNegative val="0"/>
          <c:cat>
            <c:strRef>
              <c:f>'Chart &amp; changing values'!DateRange</c:f>
              <c:strCache>
                <c:ptCount val="3"/>
                <c:pt idx="0">
                  <c:v>January</c:v>
                </c:pt>
                <c:pt idx="1">
                  <c:v>February</c:v>
                </c:pt>
                <c:pt idx="2">
                  <c:v>March</c:v>
                </c:pt>
              </c:strCache>
            </c:strRef>
          </c:cat>
          <c:val>
            <c:numRef>
              <c:f>'Chart &amp; changing values'!SmithRange</c:f>
              <c:numCache>
                <c:formatCode>General</c:formatCode>
                <c:ptCount val="3"/>
                <c:pt idx="0">
                  <c:v>4213</c:v>
                </c:pt>
                <c:pt idx="1">
                  <c:v>3194</c:v>
                </c:pt>
                <c:pt idx="2">
                  <c:v>2541</c:v>
                </c:pt>
              </c:numCache>
            </c:numRef>
          </c:val>
          <c:extLst>
            <c:ext xmlns:c16="http://schemas.microsoft.com/office/drawing/2014/chart" uri="{C3380CC4-5D6E-409C-BE32-E72D297353CC}">
              <c16:uniqueId val="{00000000-4C3B-477C-B5F9-F0DAFD2CEF4F}"/>
            </c:ext>
          </c:extLst>
        </c:ser>
        <c:dLbls>
          <c:showLegendKey val="0"/>
          <c:showVal val="0"/>
          <c:showCatName val="0"/>
          <c:showSerName val="0"/>
          <c:showPercent val="0"/>
          <c:showBubbleSize val="0"/>
        </c:dLbls>
        <c:gapWidth val="219"/>
        <c:overlap val="-27"/>
        <c:axId val="609700384"/>
        <c:axId val="749076168"/>
      </c:barChart>
      <c:catAx>
        <c:axId val="609700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9076168"/>
        <c:crosses val="autoZero"/>
        <c:auto val="1"/>
        <c:lblAlgn val="ctr"/>
        <c:lblOffset val="100"/>
        <c:noMultiLvlLbl val="0"/>
      </c:catAx>
      <c:valAx>
        <c:axId val="7490761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97003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A$23" fmlaRange="$B$16:$B$19" sel="2" val="0"/>
</file>

<file path=xl/ctrlProps/ctrlProp10.xml><?xml version="1.0" encoding="utf-8"?>
<formControlPr xmlns="http://schemas.microsoft.com/office/spreadsheetml/2009/9/main" objectType="Scroll" dx="16" fmlaLink="$H$6" horiz="1" max="100" page="10"/>
</file>

<file path=xl/ctrlProps/ctrlProp2.xml><?xml version="1.0" encoding="utf-8"?>
<formControlPr xmlns="http://schemas.microsoft.com/office/spreadsheetml/2009/9/main" objectType="Drop" dropStyle="combo" dx="39" fmlaLink="$C$13" fmlaRange="$G$9:$G$19" sel="4" val="0"/>
</file>

<file path=xl/ctrlProps/ctrlProp3.xml><?xml version="1.0" encoding="utf-8"?>
<formControlPr xmlns="http://schemas.microsoft.com/office/spreadsheetml/2009/9/main" objectType="Drop" dropStyle="combo" dx="39" fmlaLink="$C$15" fmlaRange="$M$9:$M$12" sel="2" val="0"/>
</file>

<file path=xl/ctrlProps/ctrlProp4.xml><?xml version="1.0" encoding="utf-8"?>
<formControlPr xmlns="http://schemas.microsoft.com/office/spreadsheetml/2009/9/main" objectType="Drop" dropStyle="combo" dx="39" fmlaLink="$N$15" fmlaRange="$M$9:$M$12" sel="2" val="0"/>
</file>

<file path=xl/ctrlProps/ctrlProp5.xml><?xml version="1.0" encoding="utf-8"?>
<formControlPr xmlns="http://schemas.microsoft.com/office/spreadsheetml/2009/9/main" objectType="Drop" dropStyle="combo" dx="39" fmlaLink="$D$42" fmlaRange="$G$30:$G$40" noThreeD="1" sel="3" val="0"/>
</file>

<file path=xl/ctrlProps/ctrlProp6.xml><?xml version="1.0" encoding="utf-8"?>
<formControlPr xmlns="http://schemas.microsoft.com/office/spreadsheetml/2009/9/main" objectType="Drop" dropStyle="combo" dx="39" fmlaLink="$I$28" fmlaRange="$O$26:$O$32" sel="2" val="0"/>
</file>

<file path=xl/ctrlProps/ctrlProp7.xml><?xml version="1.0" encoding="utf-8"?>
<formControlPr xmlns="http://schemas.microsoft.com/office/spreadsheetml/2009/9/main" objectType="Drop" dropStyle="combo" dx="39" fmlaLink="$I$30" fmlaRange="$P$26:$P$32" sel="3" val="0"/>
</file>

<file path=xl/ctrlProps/ctrlProp8.xml><?xml version="1.0" encoding="utf-8"?>
<formControlPr xmlns="http://schemas.microsoft.com/office/spreadsheetml/2009/9/main" objectType="Drop" dropStyle="combo" dx="39" fmlaLink="$I$42" fmlaRange="$P$41:$P$47" sel="2" val="0"/>
</file>

<file path=xl/ctrlProps/ctrlProp9.xml><?xml version="1.0" encoding="utf-8"?>
<formControlPr xmlns="http://schemas.microsoft.com/office/spreadsheetml/2009/9/main" objectType="Drop" dropStyle="combo" dx="39" fmlaLink="$I$44" fmlaRange="$Q$41:$Q$47" sel="4" val="0"/>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43.png"/><Relationship Id="rId2" Type="http://schemas.openxmlformats.org/officeDocument/2006/relationships/image" Target="../media/image42.png"/><Relationship Id="rId1" Type="http://schemas.openxmlformats.org/officeDocument/2006/relationships/image" Target="../media/image41.png"/><Relationship Id="rId6" Type="http://schemas.openxmlformats.org/officeDocument/2006/relationships/chart" Target="../charts/chart3.xml"/><Relationship Id="rId5" Type="http://schemas.openxmlformats.org/officeDocument/2006/relationships/chart" Target="../charts/chart2.xml"/><Relationship Id="rId4" Type="http://schemas.openxmlformats.org/officeDocument/2006/relationships/image" Target="../media/image44.png"/></Relationships>
</file>

<file path=xl/drawings/_rels/drawing11.xml.rels><?xml version="1.0" encoding="UTF-8" standalone="yes"?>
<Relationships xmlns="http://schemas.openxmlformats.org/package/2006/relationships"><Relationship Id="rId3" Type="http://schemas.openxmlformats.org/officeDocument/2006/relationships/image" Target="../media/image44.png"/><Relationship Id="rId2" Type="http://schemas.openxmlformats.org/officeDocument/2006/relationships/image" Target="../media/image43.png"/><Relationship Id="rId1" Type="http://schemas.openxmlformats.org/officeDocument/2006/relationships/image" Target="../media/image45.png"/><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hyperlink" Target="#Offset!A1"/><Relationship Id="rId6" Type="http://schemas.openxmlformats.org/officeDocument/2006/relationships/image" Target="../media/image13.png"/><Relationship Id="rId5" Type="http://schemas.openxmlformats.org/officeDocument/2006/relationships/image" Target="../media/image12.pn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15.png"/><Relationship Id="rId1" Type="http://schemas.openxmlformats.org/officeDocument/2006/relationships/image" Target="../media/image14.png"/><Relationship Id="rId6" Type="http://schemas.openxmlformats.org/officeDocument/2006/relationships/image" Target="../media/image19.png"/><Relationship Id="rId5" Type="http://schemas.openxmlformats.org/officeDocument/2006/relationships/image" Target="../media/image18.png"/><Relationship Id="rId4" Type="http://schemas.openxmlformats.org/officeDocument/2006/relationships/image" Target="../media/image17.png"/></Relationships>
</file>

<file path=xl/drawings/_rels/drawing6.xml.rels><?xml version="1.0" encoding="UTF-8" standalone="yes"?>
<Relationships xmlns="http://schemas.openxmlformats.org/package/2006/relationships"><Relationship Id="rId3" Type="http://schemas.openxmlformats.org/officeDocument/2006/relationships/image" Target="../media/image22.png"/><Relationship Id="rId2" Type="http://schemas.openxmlformats.org/officeDocument/2006/relationships/image" Target="../media/image21.png"/><Relationship Id="rId1" Type="http://schemas.openxmlformats.org/officeDocument/2006/relationships/image" Target="../media/image20.png"/><Relationship Id="rId6" Type="http://schemas.openxmlformats.org/officeDocument/2006/relationships/image" Target="../media/image25.png"/><Relationship Id="rId5" Type="http://schemas.openxmlformats.org/officeDocument/2006/relationships/image" Target="../media/image24.png"/><Relationship Id="rId4" Type="http://schemas.openxmlformats.org/officeDocument/2006/relationships/image" Target="../media/image23.png"/></Relationships>
</file>

<file path=xl/drawings/_rels/drawing8.xml.rels><?xml version="1.0" encoding="UTF-8" standalone="yes"?>
<Relationships xmlns="http://schemas.openxmlformats.org/package/2006/relationships"><Relationship Id="rId8" Type="http://schemas.openxmlformats.org/officeDocument/2006/relationships/image" Target="../media/image33.png"/><Relationship Id="rId13" Type="http://schemas.openxmlformats.org/officeDocument/2006/relationships/image" Target="../media/image38.png"/><Relationship Id="rId3" Type="http://schemas.openxmlformats.org/officeDocument/2006/relationships/image" Target="../media/image28.png"/><Relationship Id="rId7" Type="http://schemas.openxmlformats.org/officeDocument/2006/relationships/image" Target="../media/image32.png"/><Relationship Id="rId12" Type="http://schemas.openxmlformats.org/officeDocument/2006/relationships/image" Target="../media/image37.png"/><Relationship Id="rId2" Type="http://schemas.openxmlformats.org/officeDocument/2006/relationships/image" Target="../media/image27.png"/><Relationship Id="rId1" Type="http://schemas.openxmlformats.org/officeDocument/2006/relationships/image" Target="../media/image26.png"/><Relationship Id="rId6" Type="http://schemas.openxmlformats.org/officeDocument/2006/relationships/image" Target="../media/image31.png"/><Relationship Id="rId11" Type="http://schemas.openxmlformats.org/officeDocument/2006/relationships/image" Target="../media/image36.png"/><Relationship Id="rId5" Type="http://schemas.openxmlformats.org/officeDocument/2006/relationships/image" Target="../media/image30.png"/><Relationship Id="rId15" Type="http://schemas.openxmlformats.org/officeDocument/2006/relationships/image" Target="../media/image40.png"/><Relationship Id="rId10" Type="http://schemas.openxmlformats.org/officeDocument/2006/relationships/image" Target="../media/image35.png"/><Relationship Id="rId4" Type="http://schemas.openxmlformats.org/officeDocument/2006/relationships/image" Target="../media/image29.png"/><Relationship Id="rId9" Type="http://schemas.openxmlformats.org/officeDocument/2006/relationships/image" Target="../media/image34.png"/><Relationship Id="rId14" Type="http://schemas.openxmlformats.org/officeDocument/2006/relationships/image" Target="../media/image39.png"/></Relationships>
</file>

<file path=xl/drawings/_rels/drawing9.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10</xdr:col>
      <xdr:colOff>614363</xdr:colOff>
      <xdr:row>2</xdr:row>
      <xdr:rowOff>100012</xdr:rowOff>
    </xdr:from>
    <xdr:to>
      <xdr:col>13</xdr:col>
      <xdr:colOff>623253</xdr:colOff>
      <xdr:row>21</xdr:row>
      <xdr:rowOff>42862</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9482138" y="509587"/>
          <a:ext cx="1951990" cy="3381375"/>
        </a:xfrm>
        <a:prstGeom prst="rect">
          <a:avLst/>
        </a:prstGeom>
      </xdr:spPr>
    </xdr:pic>
    <xdr:clientData/>
  </xdr:twoCellAnchor>
  <xdr:twoCellAnchor editAs="oneCell">
    <xdr:from>
      <xdr:col>10</xdr:col>
      <xdr:colOff>628650</xdr:colOff>
      <xdr:row>21</xdr:row>
      <xdr:rowOff>14267</xdr:rowOff>
    </xdr:from>
    <xdr:to>
      <xdr:col>13</xdr:col>
      <xdr:colOff>619125</xdr:colOff>
      <xdr:row>39</xdr:row>
      <xdr:rowOff>52367</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9496425" y="3862367"/>
          <a:ext cx="1933575" cy="3295650"/>
        </a:xfrm>
        <a:prstGeom prst="rect">
          <a:avLst/>
        </a:prstGeom>
      </xdr:spPr>
    </xdr:pic>
    <xdr:clientData/>
  </xdr:twoCellAnchor>
  <xdr:twoCellAnchor editAs="oneCell">
    <xdr:from>
      <xdr:col>0</xdr:col>
      <xdr:colOff>0</xdr:colOff>
      <xdr:row>38</xdr:row>
      <xdr:rowOff>28552</xdr:rowOff>
    </xdr:from>
    <xdr:to>
      <xdr:col>3</xdr:col>
      <xdr:colOff>336550</xdr:colOff>
      <xdr:row>44</xdr:row>
      <xdr:rowOff>38077</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690563" y="6953227"/>
          <a:ext cx="1936750" cy="1095375"/>
        </a:xfrm>
        <a:prstGeom prst="rect">
          <a:avLst/>
        </a:prstGeom>
      </xdr:spPr>
    </xdr:pic>
    <xdr:clientData/>
  </xdr:twoCellAnchor>
  <xdr:twoCellAnchor editAs="oneCell">
    <xdr:from>
      <xdr:col>7</xdr:col>
      <xdr:colOff>414338</xdr:colOff>
      <xdr:row>1</xdr:row>
      <xdr:rowOff>6501</xdr:rowOff>
    </xdr:from>
    <xdr:to>
      <xdr:col>9</xdr:col>
      <xdr:colOff>423863</xdr:colOff>
      <xdr:row>19</xdr:row>
      <xdr:rowOff>147680</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rotWithShape="1">
        <a:blip xmlns:r="http://schemas.openxmlformats.org/officeDocument/2006/relationships" r:embed="rId4"/>
        <a:srcRect l="5517"/>
        <a:stretch/>
      </xdr:blipFill>
      <xdr:spPr>
        <a:xfrm>
          <a:off x="7443788" y="235101"/>
          <a:ext cx="1304925" cy="3446354"/>
        </a:xfrm>
        <a:prstGeom prst="rect">
          <a:avLst/>
        </a:prstGeom>
      </xdr:spPr>
    </xdr:pic>
    <xdr:clientData/>
  </xdr:twoCellAnchor>
  <xdr:twoCellAnchor editAs="oneCell">
    <xdr:from>
      <xdr:col>5</xdr:col>
      <xdr:colOff>52389</xdr:colOff>
      <xdr:row>3</xdr:row>
      <xdr:rowOff>85725</xdr:rowOff>
    </xdr:from>
    <xdr:to>
      <xdr:col>5</xdr:col>
      <xdr:colOff>333377</xdr:colOff>
      <xdr:row>5</xdr:row>
      <xdr:rowOff>4763</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5"/>
        <a:stretch>
          <a:fillRect/>
        </a:stretch>
      </xdr:blipFill>
      <xdr:spPr>
        <a:xfrm>
          <a:off x="6853239" y="676275"/>
          <a:ext cx="280988" cy="280988"/>
        </a:xfrm>
        <a:prstGeom prst="rect">
          <a:avLst/>
        </a:prstGeom>
      </xdr:spPr>
    </xdr:pic>
    <xdr:clientData/>
  </xdr:twoCellAnchor>
  <xdr:twoCellAnchor editAs="oneCell">
    <xdr:from>
      <xdr:col>3</xdr:col>
      <xdr:colOff>414338</xdr:colOff>
      <xdr:row>5</xdr:row>
      <xdr:rowOff>123825</xdr:rowOff>
    </xdr:from>
    <xdr:to>
      <xdr:col>4</xdr:col>
      <xdr:colOff>38101</xdr:colOff>
      <xdr:row>7</xdr:row>
      <xdr:rowOff>52388</xdr:rowOff>
    </xdr:to>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6"/>
        <a:stretch>
          <a:fillRect/>
        </a:stretch>
      </xdr:blipFill>
      <xdr:spPr>
        <a:xfrm>
          <a:off x="5919788" y="1076325"/>
          <a:ext cx="271463" cy="290513"/>
        </a:xfrm>
        <a:prstGeom prst="rect">
          <a:avLst/>
        </a:prstGeom>
      </xdr:spPr>
    </xdr:pic>
    <xdr:clientData/>
  </xdr:twoCellAnchor>
  <xdr:twoCellAnchor editAs="oneCell">
    <xdr:from>
      <xdr:col>1</xdr:col>
      <xdr:colOff>23814</xdr:colOff>
      <xdr:row>22</xdr:row>
      <xdr:rowOff>37545</xdr:rowOff>
    </xdr:from>
    <xdr:to>
      <xdr:col>8</xdr:col>
      <xdr:colOff>9525</xdr:colOff>
      <xdr:row>42</xdr:row>
      <xdr:rowOff>53775</xdr:rowOff>
    </xdr:to>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7"/>
        <a:stretch>
          <a:fillRect/>
        </a:stretch>
      </xdr:blipFill>
      <xdr:spPr>
        <a:xfrm>
          <a:off x="4233864" y="4066620"/>
          <a:ext cx="4557711" cy="3635730"/>
        </a:xfrm>
        <a:prstGeom prst="rect">
          <a:avLst/>
        </a:prstGeom>
      </xdr:spPr>
    </xdr:pic>
    <xdr:clientData/>
  </xdr:twoCellAnchor>
  <xdr:twoCellAnchor editAs="oneCell">
    <xdr:from>
      <xdr:col>1</xdr:col>
      <xdr:colOff>9525</xdr:colOff>
      <xdr:row>11</xdr:row>
      <xdr:rowOff>60920</xdr:rowOff>
    </xdr:from>
    <xdr:to>
      <xdr:col>4</xdr:col>
      <xdr:colOff>38831</xdr:colOff>
      <xdr:row>18</xdr:row>
      <xdr:rowOff>448</xdr:rowOff>
    </xdr:to>
    <xdr:pic>
      <xdr:nvPicPr>
        <xdr:cNvPr id="10" name="Pictur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8"/>
        <a:stretch>
          <a:fillRect/>
        </a:stretch>
      </xdr:blipFill>
      <xdr:spPr>
        <a:xfrm>
          <a:off x="4219575" y="2099270"/>
          <a:ext cx="1972406" cy="120635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38101</xdr:colOff>
      <xdr:row>20</xdr:row>
      <xdr:rowOff>38101</xdr:rowOff>
    </xdr:from>
    <xdr:to>
      <xdr:col>6</xdr:col>
      <xdr:colOff>528638</xdr:colOff>
      <xdr:row>24</xdr:row>
      <xdr:rowOff>117175</xdr:rowOff>
    </xdr:to>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2409826" y="3743326"/>
          <a:ext cx="1138237" cy="802974"/>
        </a:xfrm>
        <a:prstGeom prst="rect">
          <a:avLst/>
        </a:prstGeom>
      </xdr:spPr>
    </xdr:pic>
    <xdr:clientData/>
  </xdr:twoCellAnchor>
  <xdr:twoCellAnchor editAs="oneCell">
    <xdr:from>
      <xdr:col>5</xdr:col>
      <xdr:colOff>9525</xdr:colOff>
      <xdr:row>29</xdr:row>
      <xdr:rowOff>18421</xdr:rowOff>
    </xdr:from>
    <xdr:to>
      <xdr:col>9</xdr:col>
      <xdr:colOff>442913</xdr:colOff>
      <xdr:row>39</xdr:row>
      <xdr:rowOff>157027</xdr:rowOff>
    </xdr:to>
    <xdr:pic>
      <xdr:nvPicPr>
        <xdr:cNvPr id="3" name="Pictur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a:stretch>
          <a:fillRect/>
        </a:stretch>
      </xdr:blipFill>
      <xdr:spPr>
        <a:xfrm>
          <a:off x="2381250" y="5352421"/>
          <a:ext cx="3024188" cy="1948356"/>
        </a:xfrm>
        <a:prstGeom prst="rect">
          <a:avLst/>
        </a:prstGeom>
      </xdr:spPr>
    </xdr:pic>
    <xdr:clientData/>
  </xdr:twoCellAnchor>
  <xdr:twoCellAnchor editAs="oneCell">
    <xdr:from>
      <xdr:col>11</xdr:col>
      <xdr:colOff>333376</xdr:colOff>
      <xdr:row>55</xdr:row>
      <xdr:rowOff>33338</xdr:rowOff>
    </xdr:from>
    <xdr:to>
      <xdr:col>14</xdr:col>
      <xdr:colOff>633414</xdr:colOff>
      <xdr:row>59</xdr:row>
      <xdr:rowOff>96183</xdr:rowOff>
    </xdr:to>
    <xdr:pic>
      <xdr:nvPicPr>
        <xdr:cNvPr id="5" name="Picture 4">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3"/>
        <a:stretch>
          <a:fillRect/>
        </a:stretch>
      </xdr:blipFill>
      <xdr:spPr>
        <a:xfrm>
          <a:off x="6591301" y="9891713"/>
          <a:ext cx="2243138" cy="786745"/>
        </a:xfrm>
        <a:prstGeom prst="rect">
          <a:avLst/>
        </a:prstGeom>
      </xdr:spPr>
    </xdr:pic>
    <xdr:clientData/>
  </xdr:twoCellAnchor>
  <xdr:twoCellAnchor editAs="oneCell">
    <xdr:from>
      <xdr:col>15</xdr:col>
      <xdr:colOff>204788</xdr:colOff>
      <xdr:row>47</xdr:row>
      <xdr:rowOff>74837</xdr:rowOff>
    </xdr:from>
    <xdr:to>
      <xdr:col>18</xdr:col>
      <xdr:colOff>519114</xdr:colOff>
      <xdr:row>54</xdr:row>
      <xdr:rowOff>32943</xdr:rowOff>
    </xdr:to>
    <xdr:pic>
      <xdr:nvPicPr>
        <xdr:cNvPr id="8" name="Picture 7">
          <a:extLst>
            <a:ext uri="{FF2B5EF4-FFF2-40B4-BE49-F238E27FC236}">
              <a16:creationId xmlns:a16="http://schemas.microsoft.com/office/drawing/2014/main" id="{00000000-0008-0000-1000-000008000000}"/>
            </a:ext>
          </a:extLst>
        </xdr:cNvPr>
        <xdr:cNvPicPr>
          <a:picLocks noChangeAspect="1"/>
        </xdr:cNvPicPr>
      </xdr:nvPicPr>
      <xdr:blipFill>
        <a:blip xmlns:r="http://schemas.openxmlformats.org/officeDocument/2006/relationships" r:embed="rId4"/>
        <a:stretch>
          <a:fillRect/>
        </a:stretch>
      </xdr:blipFill>
      <xdr:spPr>
        <a:xfrm>
          <a:off x="9053513" y="8666387"/>
          <a:ext cx="2257426" cy="1224931"/>
        </a:xfrm>
        <a:prstGeom prst="rect">
          <a:avLst/>
        </a:prstGeom>
      </xdr:spPr>
    </xdr:pic>
    <xdr:clientData/>
  </xdr:twoCellAnchor>
  <xdr:twoCellAnchor>
    <xdr:from>
      <xdr:col>5</xdr:col>
      <xdr:colOff>16668</xdr:colOff>
      <xdr:row>62</xdr:row>
      <xdr:rowOff>64293</xdr:rowOff>
    </xdr:from>
    <xdr:to>
      <xdr:col>12</xdr:col>
      <xdr:colOff>54768</xdr:colOff>
      <xdr:row>77</xdr:row>
      <xdr:rowOff>92868</xdr:rowOff>
    </xdr:to>
    <xdr:graphicFrame macro="">
      <xdr:nvGraphicFramePr>
        <xdr:cNvPr id="9" name="Chart 8">
          <a:extLst>
            <a:ext uri="{FF2B5EF4-FFF2-40B4-BE49-F238E27FC236}">
              <a16:creationId xmlns:a16="http://schemas.microsoft.com/office/drawing/2014/main" id="{00000000-0008-0000-1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354806</xdr:colOff>
      <xdr:row>62</xdr:row>
      <xdr:rowOff>116680</xdr:rowOff>
    </xdr:from>
    <xdr:to>
      <xdr:col>19</xdr:col>
      <xdr:colOff>392906</xdr:colOff>
      <xdr:row>77</xdr:row>
      <xdr:rowOff>145255</xdr:rowOff>
    </xdr:to>
    <xdr:graphicFrame macro="">
      <xdr:nvGraphicFramePr>
        <xdr:cNvPr id="6" name="Chart 5">
          <a:extLst>
            <a:ext uri="{FF2B5EF4-FFF2-40B4-BE49-F238E27FC236}">
              <a16:creationId xmlns:a16="http://schemas.microsoft.com/office/drawing/2014/main" id="{00000000-0008-0000-1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10</xdr:col>
      <xdr:colOff>380999</xdr:colOff>
      <xdr:row>1</xdr:row>
      <xdr:rowOff>64262</xdr:rowOff>
    </xdr:from>
    <xdr:to>
      <xdr:col>13</xdr:col>
      <xdr:colOff>447025</xdr:colOff>
      <xdr:row>10</xdr:row>
      <xdr:rowOff>94698</xdr:rowOff>
    </xdr:to>
    <xdr:pic>
      <xdr:nvPicPr>
        <xdr:cNvPr id="6" name="Picture 5">
          <a:extLst>
            <a:ext uri="{FF2B5EF4-FFF2-40B4-BE49-F238E27FC236}">
              <a16:creationId xmlns:a16="http://schemas.microsoft.com/office/drawing/2014/main" id="{00000000-0008-0000-1100-000006000000}"/>
            </a:ext>
          </a:extLst>
        </xdr:cNvPr>
        <xdr:cNvPicPr>
          <a:picLocks noChangeAspect="1"/>
        </xdr:cNvPicPr>
      </xdr:nvPicPr>
      <xdr:blipFill>
        <a:blip xmlns:r="http://schemas.openxmlformats.org/officeDocument/2006/relationships" r:embed="rId1"/>
        <a:stretch>
          <a:fillRect/>
        </a:stretch>
      </xdr:blipFill>
      <xdr:spPr>
        <a:xfrm>
          <a:off x="7305674" y="340487"/>
          <a:ext cx="2009126" cy="1706836"/>
        </a:xfrm>
        <a:prstGeom prst="rect">
          <a:avLst/>
        </a:prstGeom>
      </xdr:spPr>
    </xdr:pic>
    <xdr:clientData/>
  </xdr:twoCellAnchor>
  <xdr:twoCellAnchor editAs="oneCell">
    <xdr:from>
      <xdr:col>10</xdr:col>
      <xdr:colOff>333376</xdr:colOff>
      <xdr:row>30</xdr:row>
      <xdr:rowOff>33338</xdr:rowOff>
    </xdr:from>
    <xdr:to>
      <xdr:col>13</xdr:col>
      <xdr:colOff>633414</xdr:colOff>
      <xdr:row>34</xdr:row>
      <xdr:rowOff>96183</xdr:rowOff>
    </xdr:to>
    <xdr:pic>
      <xdr:nvPicPr>
        <xdr:cNvPr id="7" name="Picture 6">
          <a:extLst>
            <a:ext uri="{FF2B5EF4-FFF2-40B4-BE49-F238E27FC236}">
              <a16:creationId xmlns:a16="http://schemas.microsoft.com/office/drawing/2014/main" id="{00000000-0008-0000-1100-000007000000}"/>
            </a:ext>
          </a:extLst>
        </xdr:cNvPr>
        <xdr:cNvPicPr>
          <a:picLocks noChangeAspect="1"/>
        </xdr:cNvPicPr>
      </xdr:nvPicPr>
      <xdr:blipFill>
        <a:blip xmlns:r="http://schemas.openxmlformats.org/officeDocument/2006/relationships" r:embed="rId2"/>
        <a:stretch>
          <a:fillRect/>
        </a:stretch>
      </xdr:blipFill>
      <xdr:spPr>
        <a:xfrm>
          <a:off x="6000751" y="9729788"/>
          <a:ext cx="2243138" cy="786745"/>
        </a:xfrm>
        <a:prstGeom prst="rect">
          <a:avLst/>
        </a:prstGeom>
      </xdr:spPr>
    </xdr:pic>
    <xdr:clientData/>
  </xdr:twoCellAnchor>
  <xdr:twoCellAnchor editAs="oneCell">
    <xdr:from>
      <xdr:col>14</xdr:col>
      <xdr:colOff>204788</xdr:colOff>
      <xdr:row>23</xdr:row>
      <xdr:rowOff>74837</xdr:rowOff>
    </xdr:from>
    <xdr:to>
      <xdr:col>17</xdr:col>
      <xdr:colOff>519114</xdr:colOff>
      <xdr:row>30</xdr:row>
      <xdr:rowOff>32943</xdr:rowOff>
    </xdr:to>
    <xdr:pic>
      <xdr:nvPicPr>
        <xdr:cNvPr id="8" name="Picture 7">
          <a:extLst>
            <a:ext uri="{FF2B5EF4-FFF2-40B4-BE49-F238E27FC236}">
              <a16:creationId xmlns:a16="http://schemas.microsoft.com/office/drawing/2014/main" id="{00000000-0008-0000-1100-000008000000}"/>
            </a:ext>
          </a:extLst>
        </xdr:cNvPr>
        <xdr:cNvPicPr>
          <a:picLocks noChangeAspect="1"/>
        </xdr:cNvPicPr>
      </xdr:nvPicPr>
      <xdr:blipFill>
        <a:blip xmlns:r="http://schemas.openxmlformats.org/officeDocument/2006/relationships" r:embed="rId3"/>
        <a:stretch>
          <a:fillRect/>
        </a:stretch>
      </xdr:blipFill>
      <xdr:spPr>
        <a:xfrm>
          <a:off x="8462963" y="8504462"/>
          <a:ext cx="2257426" cy="1224931"/>
        </a:xfrm>
        <a:prstGeom prst="rect">
          <a:avLst/>
        </a:prstGeom>
      </xdr:spPr>
    </xdr:pic>
    <xdr:clientData/>
  </xdr:twoCellAnchor>
  <xdr:twoCellAnchor>
    <xdr:from>
      <xdr:col>4</xdr:col>
      <xdr:colOff>64294</xdr:colOff>
      <xdr:row>38</xdr:row>
      <xdr:rowOff>2381</xdr:rowOff>
    </xdr:from>
    <xdr:to>
      <xdr:col>10</xdr:col>
      <xdr:colOff>454819</xdr:colOff>
      <xdr:row>53</xdr:row>
      <xdr:rowOff>30956</xdr:rowOff>
    </xdr:to>
    <xdr:graphicFrame macro="">
      <xdr:nvGraphicFramePr>
        <xdr:cNvPr id="2" name="Chart 1">
          <a:extLst>
            <a:ext uri="{FF2B5EF4-FFF2-40B4-BE49-F238E27FC236}">
              <a16:creationId xmlns:a16="http://schemas.microsoft.com/office/drawing/2014/main" id="{00000000-0008-0000-1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23812</xdr:colOff>
      <xdr:row>47</xdr:row>
      <xdr:rowOff>52388</xdr:rowOff>
    </xdr:from>
    <xdr:to>
      <xdr:col>2</xdr:col>
      <xdr:colOff>381000</xdr:colOff>
      <xdr:row>49</xdr:row>
      <xdr:rowOff>171451</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671512" y="8901113"/>
          <a:ext cx="1004888" cy="48101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347663</xdr:colOff>
      <xdr:row>43</xdr:row>
      <xdr:rowOff>457201</xdr:rowOff>
    </xdr:from>
    <xdr:to>
      <xdr:col>17</xdr:col>
      <xdr:colOff>185738</xdr:colOff>
      <xdr:row>43</xdr:row>
      <xdr:rowOff>1219201</xdr:rowOff>
    </xdr:to>
    <xdr:pic>
      <xdr:nvPicPr>
        <xdr:cNvPr id="3" name="Picture 4">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15463" y="8601076"/>
          <a:ext cx="1781175" cy="76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66675</xdr:colOff>
      <xdr:row>37</xdr:row>
      <xdr:rowOff>114297</xdr:rowOff>
    </xdr:from>
    <xdr:to>
      <xdr:col>5</xdr:col>
      <xdr:colOff>481012</xdr:colOff>
      <xdr:row>42</xdr:row>
      <xdr:rowOff>83157</xdr:rowOff>
    </xdr:to>
    <xdr:pic>
      <xdr:nvPicPr>
        <xdr:cNvPr id="4" name="Picture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57475" y="7077072"/>
          <a:ext cx="1062037" cy="9308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123170</xdr:colOff>
      <xdr:row>40</xdr:row>
      <xdr:rowOff>138113</xdr:rowOff>
    </xdr:from>
    <xdr:to>
      <xdr:col>10</xdr:col>
      <xdr:colOff>213705</xdr:colOff>
      <xdr:row>50</xdr:row>
      <xdr:rowOff>89943</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4"/>
        <a:stretch>
          <a:fillRect/>
        </a:stretch>
      </xdr:blipFill>
      <xdr:spPr>
        <a:xfrm>
          <a:off x="4657070" y="7662863"/>
          <a:ext cx="2033635" cy="1818730"/>
        </a:xfrm>
        <a:prstGeom prst="rect">
          <a:avLst/>
        </a:prstGeom>
      </xdr:spPr>
    </xdr:pic>
    <xdr:clientData/>
  </xdr:twoCellAnchor>
  <xdr:twoCellAnchor editAs="oneCell">
    <xdr:from>
      <xdr:col>6</xdr:col>
      <xdr:colOff>123826</xdr:colOff>
      <xdr:row>65</xdr:row>
      <xdr:rowOff>124358</xdr:rowOff>
    </xdr:from>
    <xdr:to>
      <xdr:col>8</xdr:col>
      <xdr:colOff>585000</xdr:colOff>
      <xdr:row>77</xdr:row>
      <xdr:rowOff>104777</xdr:rowOff>
    </xdr:to>
    <xdr:pic>
      <xdr:nvPicPr>
        <xdr:cNvPr id="7" name="Picture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5"/>
        <a:stretch>
          <a:fillRect/>
        </a:stretch>
      </xdr:blipFill>
      <xdr:spPr>
        <a:xfrm>
          <a:off x="3852864" y="12602108"/>
          <a:ext cx="1756574" cy="2171169"/>
        </a:xfrm>
        <a:prstGeom prst="rect">
          <a:avLst/>
        </a:prstGeom>
      </xdr:spPr>
    </xdr:pic>
    <xdr:clientData/>
  </xdr:twoCellAnchor>
  <xdr:twoCellAnchor editAs="oneCell">
    <xdr:from>
      <xdr:col>4</xdr:col>
      <xdr:colOff>209106</xdr:colOff>
      <xdr:row>79</xdr:row>
      <xdr:rowOff>73516</xdr:rowOff>
    </xdr:from>
    <xdr:to>
      <xdr:col>8</xdr:col>
      <xdr:colOff>617694</xdr:colOff>
      <xdr:row>86</xdr:row>
      <xdr:rowOff>95251</xdr:rowOff>
    </xdr:to>
    <xdr:pic>
      <xdr:nvPicPr>
        <xdr:cNvPr id="8" name="Picture 7">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6"/>
        <a:stretch>
          <a:fillRect/>
        </a:stretch>
      </xdr:blipFill>
      <xdr:spPr>
        <a:xfrm>
          <a:off x="2799906" y="12560791"/>
          <a:ext cx="3027963" cy="12885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21</xdr:row>
          <xdr:rowOff>161925</xdr:rowOff>
        </xdr:from>
        <xdr:to>
          <xdr:col>2</xdr:col>
          <xdr:colOff>452438</xdr:colOff>
          <xdr:row>23</xdr:row>
          <xdr:rowOff>4763</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14288</xdr:colOff>
          <xdr:row>12</xdr:row>
          <xdr:rowOff>0</xdr:rowOff>
        </xdr:from>
        <xdr:to>
          <xdr:col>4</xdr:col>
          <xdr:colOff>657225</xdr:colOff>
          <xdr:row>13</xdr:row>
          <xdr:rowOff>47625</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9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642938</xdr:colOff>
          <xdr:row>14</xdr:row>
          <xdr:rowOff>14288</xdr:rowOff>
        </xdr:from>
        <xdr:to>
          <xdr:col>4</xdr:col>
          <xdr:colOff>647700</xdr:colOff>
          <xdr:row>15</xdr:row>
          <xdr:rowOff>61913</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9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13</xdr:row>
          <xdr:rowOff>147638</xdr:rowOff>
        </xdr:from>
        <xdr:to>
          <xdr:col>15</xdr:col>
          <xdr:colOff>476250</xdr:colOff>
          <xdr:row>15</xdr:row>
          <xdr:rowOff>14288</xdr:rowOff>
        </xdr:to>
        <xdr:sp macro="" textlink="">
          <xdr:nvSpPr>
            <xdr:cNvPr id="11267" name="Drop Down 3" hidden="1">
              <a:extLst>
                <a:ext uri="{63B3BB69-23CF-44E3-9099-C40C66FF867C}">
                  <a14:compatExt spid="_x0000_s11267"/>
                </a:ext>
                <a:ext uri="{FF2B5EF4-FFF2-40B4-BE49-F238E27FC236}">
                  <a16:creationId xmlns:a16="http://schemas.microsoft.com/office/drawing/2014/main" id="{00000000-0008-0000-0900-000003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41</xdr:row>
          <xdr:rowOff>9525</xdr:rowOff>
        </xdr:from>
        <xdr:to>
          <xdr:col>2</xdr:col>
          <xdr:colOff>595313</xdr:colOff>
          <xdr:row>42</xdr:row>
          <xdr:rowOff>47625</xdr:rowOff>
        </xdr:to>
        <xdr:sp macro="" textlink="">
          <xdr:nvSpPr>
            <xdr:cNvPr id="11268" name="Drop Down 4" hidden="1">
              <a:extLst>
                <a:ext uri="{63B3BB69-23CF-44E3-9099-C40C66FF867C}">
                  <a14:compatExt spid="_x0000_s11268"/>
                </a:ext>
                <a:ext uri="{FF2B5EF4-FFF2-40B4-BE49-F238E27FC236}">
                  <a16:creationId xmlns:a16="http://schemas.microsoft.com/office/drawing/2014/main" id="{00000000-0008-0000-0900-000004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3</xdr:col>
      <xdr:colOff>280988</xdr:colOff>
      <xdr:row>6</xdr:row>
      <xdr:rowOff>157162</xdr:rowOff>
    </xdr:from>
    <xdr:to>
      <xdr:col>3</xdr:col>
      <xdr:colOff>542749</xdr:colOff>
      <xdr:row>8</xdr:row>
      <xdr:rowOff>47625</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1909763" y="1281112"/>
          <a:ext cx="261761" cy="252413"/>
        </a:xfrm>
        <a:prstGeom prst="rect">
          <a:avLst/>
        </a:prstGeom>
      </xdr:spPr>
    </xdr:pic>
    <xdr:clientData/>
  </xdr:twoCellAnchor>
  <xdr:twoCellAnchor editAs="oneCell">
    <xdr:from>
      <xdr:col>4</xdr:col>
      <xdr:colOff>33338</xdr:colOff>
      <xdr:row>9</xdr:row>
      <xdr:rowOff>1</xdr:rowOff>
    </xdr:from>
    <xdr:to>
      <xdr:col>6</xdr:col>
      <xdr:colOff>396034</xdr:colOff>
      <xdr:row>17</xdr:row>
      <xdr:rowOff>167389</xdr:rowOff>
    </xdr:to>
    <xdr:pic>
      <xdr:nvPicPr>
        <xdr:cNvPr id="4" name="Picture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a:stretch>
          <a:fillRect/>
        </a:stretch>
      </xdr:blipFill>
      <xdr:spPr>
        <a:xfrm>
          <a:off x="2309813" y="2019301"/>
          <a:ext cx="1658096" cy="1615188"/>
        </a:xfrm>
        <a:prstGeom prst="rect">
          <a:avLst/>
        </a:prstGeom>
      </xdr:spPr>
    </xdr:pic>
    <xdr:clientData/>
  </xdr:twoCellAnchor>
  <xdr:twoCellAnchor editAs="oneCell">
    <xdr:from>
      <xdr:col>4</xdr:col>
      <xdr:colOff>0</xdr:colOff>
      <xdr:row>32</xdr:row>
      <xdr:rowOff>0</xdr:rowOff>
    </xdr:from>
    <xdr:to>
      <xdr:col>6</xdr:col>
      <xdr:colOff>485775</xdr:colOff>
      <xdr:row>33</xdr:row>
      <xdr:rowOff>96565</xdr:rowOff>
    </xdr:to>
    <xdr:pic>
      <xdr:nvPicPr>
        <xdr:cNvPr id="5" name="Picture 4">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3"/>
        <a:stretch>
          <a:fillRect/>
        </a:stretch>
      </xdr:blipFill>
      <xdr:spPr>
        <a:xfrm>
          <a:off x="2276475" y="5276850"/>
          <a:ext cx="1781175" cy="277540"/>
        </a:xfrm>
        <a:prstGeom prst="rect">
          <a:avLst/>
        </a:prstGeom>
      </xdr:spPr>
    </xdr:pic>
    <xdr:clientData/>
  </xdr:twoCellAnchor>
  <xdr:twoCellAnchor editAs="oneCell">
    <xdr:from>
      <xdr:col>4</xdr:col>
      <xdr:colOff>61913</xdr:colOff>
      <xdr:row>19</xdr:row>
      <xdr:rowOff>33338</xdr:rowOff>
    </xdr:from>
    <xdr:to>
      <xdr:col>7</xdr:col>
      <xdr:colOff>125059</xdr:colOff>
      <xdr:row>20</xdr:row>
      <xdr:rowOff>166688</xdr:rowOff>
    </xdr:to>
    <xdr:pic>
      <xdr:nvPicPr>
        <xdr:cNvPr id="6" name="Picture 5">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4"/>
        <a:stretch>
          <a:fillRect/>
        </a:stretch>
      </xdr:blipFill>
      <xdr:spPr>
        <a:xfrm>
          <a:off x="2338388" y="3862388"/>
          <a:ext cx="2006246" cy="314325"/>
        </a:xfrm>
        <a:prstGeom prst="rect">
          <a:avLst/>
        </a:prstGeom>
      </xdr:spPr>
    </xdr:pic>
    <xdr:clientData/>
  </xdr:twoCellAnchor>
  <xdr:twoCellAnchor editAs="oneCell">
    <xdr:from>
      <xdr:col>8</xdr:col>
      <xdr:colOff>333376</xdr:colOff>
      <xdr:row>32</xdr:row>
      <xdr:rowOff>68964</xdr:rowOff>
    </xdr:from>
    <xdr:to>
      <xdr:col>15</xdr:col>
      <xdr:colOff>234016</xdr:colOff>
      <xdr:row>45</xdr:row>
      <xdr:rowOff>157163</xdr:rowOff>
    </xdr:to>
    <xdr:pic>
      <xdr:nvPicPr>
        <xdr:cNvPr id="8" name="Picture 7">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5"/>
        <a:stretch>
          <a:fillRect/>
        </a:stretch>
      </xdr:blipFill>
      <xdr:spPr>
        <a:xfrm>
          <a:off x="5200651" y="6250689"/>
          <a:ext cx="4434540" cy="2440874"/>
        </a:xfrm>
        <a:prstGeom prst="rect">
          <a:avLst/>
        </a:prstGeom>
      </xdr:spPr>
    </xdr:pic>
    <xdr:clientData/>
  </xdr:twoCellAnchor>
  <xdr:twoCellAnchor editAs="oneCell">
    <xdr:from>
      <xdr:col>7</xdr:col>
      <xdr:colOff>523877</xdr:colOff>
      <xdr:row>48</xdr:row>
      <xdr:rowOff>52387</xdr:rowOff>
    </xdr:from>
    <xdr:to>
      <xdr:col>11</xdr:col>
      <xdr:colOff>601112</xdr:colOff>
      <xdr:row>60</xdr:row>
      <xdr:rowOff>116550</xdr:rowOff>
    </xdr:to>
    <xdr:pic>
      <xdr:nvPicPr>
        <xdr:cNvPr id="9" name="Picture 8">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6"/>
        <a:stretch>
          <a:fillRect/>
        </a:stretch>
      </xdr:blipFill>
      <xdr:spPr>
        <a:xfrm>
          <a:off x="4743452" y="9129712"/>
          <a:ext cx="2668035" cy="24454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185736</xdr:colOff>
      <xdr:row>1</xdr:row>
      <xdr:rowOff>114300</xdr:rowOff>
    </xdr:from>
    <xdr:to>
      <xdr:col>6</xdr:col>
      <xdr:colOff>424439</xdr:colOff>
      <xdr:row>3</xdr:row>
      <xdr:rowOff>171451</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2128836" y="3914775"/>
          <a:ext cx="2181803" cy="466726"/>
        </a:xfrm>
        <a:prstGeom prst="rect">
          <a:avLst/>
        </a:prstGeom>
      </xdr:spPr>
    </xdr:pic>
    <xdr:clientData/>
  </xdr:twoCellAnchor>
  <xdr:twoCellAnchor editAs="oneCell">
    <xdr:from>
      <xdr:col>6</xdr:col>
      <xdr:colOff>76198</xdr:colOff>
      <xdr:row>4</xdr:row>
      <xdr:rowOff>102364</xdr:rowOff>
    </xdr:from>
    <xdr:to>
      <xdr:col>9</xdr:col>
      <xdr:colOff>53893</xdr:colOff>
      <xdr:row>12</xdr:row>
      <xdr:rowOff>52387</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a:stretch>
          <a:fillRect/>
        </a:stretch>
      </xdr:blipFill>
      <xdr:spPr>
        <a:xfrm>
          <a:off x="3962398" y="4445764"/>
          <a:ext cx="1920795" cy="1397823"/>
        </a:xfrm>
        <a:prstGeom prst="rect">
          <a:avLst/>
        </a:prstGeom>
      </xdr:spPr>
    </xdr:pic>
    <xdr:clientData/>
  </xdr:twoCellAnchor>
  <xdr:twoCellAnchor editAs="oneCell">
    <xdr:from>
      <xdr:col>6</xdr:col>
      <xdr:colOff>52389</xdr:colOff>
      <xdr:row>12</xdr:row>
      <xdr:rowOff>157161</xdr:rowOff>
    </xdr:from>
    <xdr:to>
      <xdr:col>8</xdr:col>
      <xdr:colOff>626752</xdr:colOff>
      <xdr:row>16</xdr:row>
      <xdr:rowOff>152400</xdr:rowOff>
    </xdr:to>
    <xdr:pic>
      <xdr:nvPicPr>
        <xdr:cNvPr id="4" name="Picture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3"/>
        <a:stretch>
          <a:fillRect/>
        </a:stretch>
      </xdr:blipFill>
      <xdr:spPr>
        <a:xfrm>
          <a:off x="3938589" y="5948361"/>
          <a:ext cx="1869763" cy="719139"/>
        </a:xfrm>
        <a:prstGeom prst="rect">
          <a:avLst/>
        </a:prstGeom>
      </xdr:spPr>
    </xdr:pic>
    <xdr:clientData/>
  </xdr:twoCellAnchor>
  <xdr:twoCellAnchor editAs="oneCell">
    <xdr:from>
      <xdr:col>6</xdr:col>
      <xdr:colOff>66676</xdr:colOff>
      <xdr:row>17</xdr:row>
      <xdr:rowOff>77746</xdr:rowOff>
    </xdr:from>
    <xdr:to>
      <xdr:col>12</xdr:col>
      <xdr:colOff>302394</xdr:colOff>
      <xdr:row>34</xdr:row>
      <xdr:rowOff>176213</xdr:rowOff>
    </xdr:to>
    <xdr:pic>
      <xdr:nvPicPr>
        <xdr:cNvPr id="5" name="Picture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4"/>
        <a:stretch>
          <a:fillRect/>
        </a:stretch>
      </xdr:blipFill>
      <xdr:spPr>
        <a:xfrm>
          <a:off x="3952876" y="6773821"/>
          <a:ext cx="4121918" cy="3175042"/>
        </a:xfrm>
        <a:prstGeom prst="rect">
          <a:avLst/>
        </a:prstGeom>
      </xdr:spPr>
    </xdr:pic>
    <xdr:clientData/>
  </xdr:twoCellAnchor>
  <xdr:twoCellAnchor editAs="oneCell">
    <xdr:from>
      <xdr:col>5</xdr:col>
      <xdr:colOff>61915</xdr:colOff>
      <xdr:row>36</xdr:row>
      <xdr:rowOff>14287</xdr:rowOff>
    </xdr:from>
    <xdr:to>
      <xdr:col>9</xdr:col>
      <xdr:colOff>175589</xdr:colOff>
      <xdr:row>42</xdr:row>
      <xdr:rowOff>90488</xdr:rowOff>
    </xdr:to>
    <xdr:pic>
      <xdr:nvPicPr>
        <xdr:cNvPr id="6" name="Picture 5">
          <a:extLst>
            <a:ext uri="{FF2B5EF4-FFF2-40B4-BE49-F238E27FC236}">
              <a16:creationId xmlns:a16="http://schemas.microsoft.com/office/drawing/2014/main" id="{00000000-0008-0000-0B00-000006000000}"/>
            </a:ext>
          </a:extLst>
        </xdr:cNvPr>
        <xdr:cNvPicPr>
          <a:picLocks noChangeAspect="1"/>
        </xdr:cNvPicPr>
      </xdr:nvPicPr>
      <xdr:blipFill>
        <a:blip xmlns:r="http://schemas.openxmlformats.org/officeDocument/2006/relationships" r:embed="rId5"/>
        <a:stretch>
          <a:fillRect/>
        </a:stretch>
      </xdr:blipFill>
      <xdr:spPr>
        <a:xfrm>
          <a:off x="3076578" y="6577012"/>
          <a:ext cx="2704474" cy="1162051"/>
        </a:xfrm>
        <a:prstGeom prst="rect">
          <a:avLst/>
        </a:prstGeom>
      </xdr:spPr>
    </xdr:pic>
    <xdr:clientData/>
  </xdr:twoCellAnchor>
  <xdr:twoCellAnchor editAs="oneCell">
    <xdr:from>
      <xdr:col>12</xdr:col>
      <xdr:colOff>628650</xdr:colOff>
      <xdr:row>35</xdr:row>
      <xdr:rowOff>118934</xdr:rowOff>
    </xdr:from>
    <xdr:to>
      <xdr:col>15</xdr:col>
      <xdr:colOff>361820</xdr:colOff>
      <xdr:row>43</xdr:row>
      <xdr:rowOff>128588</xdr:rowOff>
    </xdr:to>
    <xdr:pic>
      <xdr:nvPicPr>
        <xdr:cNvPr id="7" name="Picture 6">
          <a:extLst>
            <a:ext uri="{FF2B5EF4-FFF2-40B4-BE49-F238E27FC236}">
              <a16:creationId xmlns:a16="http://schemas.microsoft.com/office/drawing/2014/main" id="{00000000-0008-0000-0B00-000007000000}"/>
            </a:ext>
          </a:extLst>
        </xdr:cNvPr>
        <xdr:cNvPicPr>
          <a:picLocks noChangeAspect="1"/>
        </xdr:cNvPicPr>
      </xdr:nvPicPr>
      <xdr:blipFill rotWithShape="1">
        <a:blip xmlns:r="http://schemas.openxmlformats.org/officeDocument/2006/relationships" r:embed="rId6"/>
        <a:srcRect l="2494"/>
        <a:stretch/>
      </xdr:blipFill>
      <xdr:spPr>
        <a:xfrm>
          <a:off x="8177213" y="6500684"/>
          <a:ext cx="1676270" cy="14574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633413</xdr:colOff>
          <xdr:row>27</xdr:row>
          <xdr:rowOff>14288</xdr:rowOff>
        </xdr:from>
        <xdr:to>
          <xdr:col>7</xdr:col>
          <xdr:colOff>323850</xdr:colOff>
          <xdr:row>28</xdr:row>
          <xdr:rowOff>57150</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C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623888</xdr:colOff>
          <xdr:row>29</xdr:row>
          <xdr:rowOff>0</xdr:rowOff>
        </xdr:from>
        <xdr:to>
          <xdr:col>7</xdr:col>
          <xdr:colOff>342900</xdr:colOff>
          <xdr:row>30</xdr:row>
          <xdr:rowOff>52388</xdr:rowOff>
        </xdr:to>
        <xdr:sp macro="" textlink="">
          <xdr:nvSpPr>
            <xdr:cNvPr id="3074" name="Drop Down 2" hidden="1">
              <a:extLst>
                <a:ext uri="{63B3BB69-23CF-44E3-9099-C40C66FF867C}">
                  <a14:compatExt spid="_x0000_s3074"/>
                </a:ext>
                <a:ext uri="{FF2B5EF4-FFF2-40B4-BE49-F238E27FC236}">
                  <a16:creationId xmlns:a16="http://schemas.microsoft.com/office/drawing/2014/main" id="{00000000-0008-0000-0C00-00000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14288</xdr:colOff>
          <xdr:row>41</xdr:row>
          <xdr:rowOff>4763</xdr:rowOff>
        </xdr:from>
        <xdr:to>
          <xdr:col>7</xdr:col>
          <xdr:colOff>352425</xdr:colOff>
          <xdr:row>42</xdr:row>
          <xdr:rowOff>47625</xdr:rowOff>
        </xdr:to>
        <xdr:sp macro="" textlink="">
          <xdr:nvSpPr>
            <xdr:cNvPr id="3076" name="Drop Down 4" hidden="1">
              <a:extLst>
                <a:ext uri="{63B3BB69-23CF-44E3-9099-C40C66FF867C}">
                  <a14:compatExt spid="_x0000_s3076"/>
                </a:ext>
                <a:ext uri="{FF2B5EF4-FFF2-40B4-BE49-F238E27FC236}">
                  <a16:creationId xmlns:a16="http://schemas.microsoft.com/office/drawing/2014/main" id="{00000000-0008-0000-0C00-00000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43</xdr:row>
          <xdr:rowOff>0</xdr:rowOff>
        </xdr:from>
        <xdr:to>
          <xdr:col>7</xdr:col>
          <xdr:colOff>366713</xdr:colOff>
          <xdr:row>44</xdr:row>
          <xdr:rowOff>52388</xdr:rowOff>
        </xdr:to>
        <xdr:sp macro="" textlink="">
          <xdr:nvSpPr>
            <xdr:cNvPr id="3077" name="Drop Down 5" hidden="1">
              <a:extLst>
                <a:ext uri="{63B3BB69-23CF-44E3-9099-C40C66FF867C}">
                  <a14:compatExt spid="_x0000_s3077"/>
                </a:ext>
                <a:ext uri="{FF2B5EF4-FFF2-40B4-BE49-F238E27FC236}">
                  <a16:creationId xmlns:a16="http://schemas.microsoft.com/office/drawing/2014/main" id="{00000000-0008-0000-0C00-00000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3</xdr:col>
      <xdr:colOff>338138</xdr:colOff>
      <xdr:row>5</xdr:row>
      <xdr:rowOff>157163</xdr:rowOff>
    </xdr:from>
    <xdr:to>
      <xdr:col>3</xdr:col>
      <xdr:colOff>576263</xdr:colOff>
      <xdr:row>7</xdr:row>
      <xdr:rowOff>28576</xdr:rowOff>
    </xdr:to>
    <xdr:pic>
      <xdr:nvPicPr>
        <xdr:cNvPr id="6" name="Picture 15" descr="Application, icon&#10;&#10;Description automatically generated">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5963" y="2243138"/>
          <a:ext cx="238125" cy="233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319088</xdr:colOff>
      <xdr:row>7</xdr:row>
      <xdr:rowOff>47626</xdr:rowOff>
    </xdr:from>
    <xdr:to>
      <xdr:col>4</xdr:col>
      <xdr:colOff>633413</xdr:colOff>
      <xdr:row>9</xdr:row>
      <xdr:rowOff>161926</xdr:rowOff>
    </xdr:to>
    <xdr:pic>
      <xdr:nvPicPr>
        <xdr:cNvPr id="7" name="Picture 17" descr="Graphical user interface, application, Word&#10;&#10;Description automatically generated">
          <a:extLst>
            <a:ext uri="{FF2B5EF4-FFF2-40B4-BE49-F238E27FC236}">
              <a16:creationId xmlns:a16="http://schemas.microsoft.com/office/drawing/2014/main" id="{00000000-0008-0000-0D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66913" y="2495551"/>
          <a:ext cx="962025"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418898</xdr:colOff>
      <xdr:row>9</xdr:row>
      <xdr:rowOff>4762</xdr:rowOff>
    </xdr:from>
    <xdr:to>
      <xdr:col>13</xdr:col>
      <xdr:colOff>51036</xdr:colOff>
      <xdr:row>13</xdr:row>
      <xdr:rowOff>166688</xdr:rowOff>
    </xdr:to>
    <xdr:pic>
      <xdr:nvPicPr>
        <xdr:cNvPr id="8" name="Picture 18" descr="Graphical user interface, text, application, email&#10;&#10;Description automatically generated">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305223" y="2090737"/>
          <a:ext cx="2870638" cy="8858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157162</xdr:colOff>
      <xdr:row>17</xdr:row>
      <xdr:rowOff>100012</xdr:rowOff>
    </xdr:from>
    <xdr:to>
      <xdr:col>14</xdr:col>
      <xdr:colOff>527367</xdr:colOff>
      <xdr:row>38</xdr:row>
      <xdr:rowOff>38099</xdr:rowOff>
    </xdr:to>
    <xdr:pic>
      <xdr:nvPicPr>
        <xdr:cNvPr id="9" name="Picture 8" descr="Graphical user interface, application&#10;&#10;Description automatically generated">
          <a:extLst>
            <a:ext uri="{FF2B5EF4-FFF2-40B4-BE49-F238E27FC236}">
              <a16:creationId xmlns:a16="http://schemas.microsoft.com/office/drawing/2014/main" id="{00000000-0008-0000-0D00-00000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986587" y="3633787"/>
          <a:ext cx="2313305" cy="4171950"/>
        </a:xfrm>
        <a:prstGeom prst="rect">
          <a:avLst/>
        </a:prstGeom>
      </xdr:spPr>
    </xdr:pic>
    <xdr:clientData/>
  </xdr:twoCellAnchor>
  <xdr:twoCellAnchor>
    <xdr:from>
      <xdr:col>7</xdr:col>
      <xdr:colOff>521685</xdr:colOff>
      <xdr:row>22</xdr:row>
      <xdr:rowOff>77795</xdr:rowOff>
    </xdr:from>
    <xdr:to>
      <xdr:col>9</xdr:col>
      <xdr:colOff>282809</xdr:colOff>
      <xdr:row>23</xdr:row>
      <xdr:rowOff>304800</xdr:rowOff>
    </xdr:to>
    <xdr:pic>
      <xdr:nvPicPr>
        <xdr:cNvPr id="11" name="Picture 21" descr="Text&#10;&#10;Description automatically generated">
          <a:extLst>
            <a:ext uri="{FF2B5EF4-FFF2-40B4-BE49-F238E27FC236}">
              <a16:creationId xmlns:a16="http://schemas.microsoft.com/office/drawing/2014/main" id="{00000000-0008-0000-0D00-00000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760310" y="4516445"/>
          <a:ext cx="1056524" cy="4079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204788</xdr:colOff>
      <xdr:row>20</xdr:row>
      <xdr:rowOff>161925</xdr:rowOff>
    </xdr:from>
    <xdr:to>
      <xdr:col>7</xdr:col>
      <xdr:colOff>263208</xdr:colOff>
      <xdr:row>22</xdr:row>
      <xdr:rowOff>13970</xdr:rowOff>
    </xdr:to>
    <xdr:pic>
      <xdr:nvPicPr>
        <xdr:cNvPr id="12" name="Picture 11">
          <a:extLst>
            <a:ext uri="{FF2B5EF4-FFF2-40B4-BE49-F238E27FC236}">
              <a16:creationId xmlns:a16="http://schemas.microsoft.com/office/drawing/2014/main" id="{00000000-0008-0000-0D00-00000C000000}"/>
            </a:ext>
          </a:extLst>
        </xdr:cNvPr>
        <xdr:cNvPicPr>
          <a:picLocks noChangeAspect="1"/>
        </xdr:cNvPicPr>
      </xdr:nvPicPr>
      <xdr:blipFill>
        <a:blip xmlns:r="http://schemas.openxmlformats.org/officeDocument/2006/relationships" r:embed="rId6"/>
        <a:stretch>
          <a:fillRect/>
        </a:stretch>
      </xdr:blipFill>
      <xdr:spPr>
        <a:xfrm>
          <a:off x="3795713" y="4238625"/>
          <a:ext cx="706120" cy="213995"/>
        </a:xfrm>
        <a:prstGeom prst="rect">
          <a:avLst/>
        </a:prstGeom>
      </xdr:spPr>
    </xdr:pic>
    <xdr:clientData/>
  </xdr:twoCellAnchor>
  <xdr:twoCellAnchor editAs="oneCell">
    <xdr:from>
      <xdr:col>1</xdr:col>
      <xdr:colOff>23813</xdr:colOff>
      <xdr:row>36</xdr:row>
      <xdr:rowOff>47625</xdr:rowOff>
    </xdr:from>
    <xdr:to>
      <xdr:col>10</xdr:col>
      <xdr:colOff>621715</xdr:colOff>
      <xdr:row>39</xdr:row>
      <xdr:rowOff>133350</xdr:rowOff>
    </xdr:to>
    <xdr:pic>
      <xdr:nvPicPr>
        <xdr:cNvPr id="13" name="Picture 12">
          <a:extLst>
            <a:ext uri="{FF2B5EF4-FFF2-40B4-BE49-F238E27FC236}">
              <a16:creationId xmlns:a16="http://schemas.microsoft.com/office/drawing/2014/main" id="{00000000-0008-0000-0D00-00000D000000}"/>
            </a:ext>
          </a:extLst>
        </xdr:cNvPr>
        <xdr:cNvPicPr>
          <a:picLocks noChangeAspect="1"/>
        </xdr:cNvPicPr>
      </xdr:nvPicPr>
      <xdr:blipFill>
        <a:blip xmlns:r="http://schemas.openxmlformats.org/officeDocument/2006/relationships" r:embed="rId7"/>
        <a:stretch>
          <a:fillRect/>
        </a:stretch>
      </xdr:blipFill>
      <xdr:spPr>
        <a:xfrm>
          <a:off x="266701" y="7210425"/>
          <a:ext cx="6536739" cy="628650"/>
        </a:xfrm>
        <a:prstGeom prst="rect">
          <a:avLst/>
        </a:prstGeom>
      </xdr:spPr>
    </xdr:pic>
    <xdr:clientData/>
  </xdr:twoCellAnchor>
  <xdr:twoCellAnchor>
    <xdr:from>
      <xdr:col>11</xdr:col>
      <xdr:colOff>19050</xdr:colOff>
      <xdr:row>42</xdr:row>
      <xdr:rowOff>47625</xdr:rowOff>
    </xdr:from>
    <xdr:to>
      <xdr:col>12</xdr:col>
      <xdr:colOff>592926</xdr:colOff>
      <xdr:row>45</xdr:row>
      <xdr:rowOff>14288</xdr:rowOff>
    </xdr:to>
    <xdr:pic>
      <xdr:nvPicPr>
        <xdr:cNvPr id="14" name="Picture 24" descr="Graphical user interface, application&#10;&#10;Description automatically generated">
          <a:extLst>
            <a:ext uri="{FF2B5EF4-FFF2-40B4-BE49-F238E27FC236}">
              <a16:creationId xmlns:a16="http://schemas.microsoft.com/office/drawing/2014/main" id="{00000000-0008-0000-0D00-00000E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6848475" y="8115300"/>
          <a:ext cx="1221576" cy="576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457200</xdr:colOff>
      <xdr:row>46</xdr:row>
      <xdr:rowOff>61912</xdr:rowOff>
    </xdr:from>
    <xdr:to>
      <xdr:col>9</xdr:col>
      <xdr:colOff>119063</xdr:colOff>
      <xdr:row>49</xdr:row>
      <xdr:rowOff>157162</xdr:rowOff>
    </xdr:to>
    <xdr:pic>
      <xdr:nvPicPr>
        <xdr:cNvPr id="15" name="Picture 25" descr="Graphical user interface, application&#10;&#10;Description automatically generated">
          <a:extLst>
            <a:ext uri="{FF2B5EF4-FFF2-40B4-BE49-F238E27FC236}">
              <a16:creationId xmlns:a16="http://schemas.microsoft.com/office/drawing/2014/main" id="{00000000-0008-0000-0D00-00000F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4695825" y="8920162"/>
          <a:ext cx="957263" cy="63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152399</xdr:colOff>
      <xdr:row>47</xdr:row>
      <xdr:rowOff>85726</xdr:rowOff>
    </xdr:from>
    <xdr:to>
      <xdr:col>13</xdr:col>
      <xdr:colOff>390524</xdr:colOff>
      <xdr:row>60</xdr:row>
      <xdr:rowOff>159751</xdr:rowOff>
    </xdr:to>
    <xdr:pic>
      <xdr:nvPicPr>
        <xdr:cNvPr id="16" name="Picture 15" descr="Graphical user interface, application&#10;&#10;Description automatically generated">
          <a:extLst>
            <a:ext uri="{FF2B5EF4-FFF2-40B4-BE49-F238E27FC236}">
              <a16:creationId xmlns:a16="http://schemas.microsoft.com/office/drawing/2014/main" id="{00000000-0008-0000-0D00-000010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6981824" y="9548814"/>
          <a:ext cx="1533525" cy="2426700"/>
        </a:xfrm>
        <a:prstGeom prst="rect">
          <a:avLst/>
        </a:prstGeom>
      </xdr:spPr>
    </xdr:pic>
    <xdr:clientData/>
  </xdr:twoCellAnchor>
  <xdr:twoCellAnchor>
    <xdr:from>
      <xdr:col>3</xdr:col>
      <xdr:colOff>347663</xdr:colOff>
      <xdr:row>55</xdr:row>
      <xdr:rowOff>0</xdr:rowOff>
    </xdr:from>
    <xdr:to>
      <xdr:col>6</xdr:col>
      <xdr:colOff>57151</xdr:colOff>
      <xdr:row>56</xdr:row>
      <xdr:rowOff>19050</xdr:rowOff>
    </xdr:to>
    <xdr:pic>
      <xdr:nvPicPr>
        <xdr:cNvPr id="17" name="Picture 27">
          <a:extLst>
            <a:ext uri="{FF2B5EF4-FFF2-40B4-BE49-F238E27FC236}">
              <a16:creationId xmlns:a16="http://schemas.microsoft.com/office/drawing/2014/main" id="{00000000-0008-0000-0D00-00001100000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995488" y="10910888"/>
          <a:ext cx="1652588"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4762</xdr:colOff>
      <xdr:row>56</xdr:row>
      <xdr:rowOff>119062</xdr:rowOff>
    </xdr:from>
    <xdr:to>
      <xdr:col>6</xdr:col>
      <xdr:colOff>152082</xdr:colOff>
      <xdr:row>66</xdr:row>
      <xdr:rowOff>114617</xdr:rowOff>
    </xdr:to>
    <xdr:pic>
      <xdr:nvPicPr>
        <xdr:cNvPr id="18" name="Picture 17" descr="Graphical user interface, text, application, email&#10;&#10;Description automatically generated">
          <a:extLst>
            <a:ext uri="{FF2B5EF4-FFF2-40B4-BE49-F238E27FC236}">
              <a16:creationId xmlns:a16="http://schemas.microsoft.com/office/drawing/2014/main" id="{00000000-0008-0000-0D00-000012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2300287" y="11210925"/>
          <a:ext cx="1442720" cy="1805305"/>
        </a:xfrm>
        <a:prstGeom prst="rect">
          <a:avLst/>
        </a:prstGeom>
      </xdr:spPr>
    </xdr:pic>
    <xdr:clientData/>
  </xdr:twoCellAnchor>
  <xdr:twoCellAnchor>
    <xdr:from>
      <xdr:col>9</xdr:col>
      <xdr:colOff>338138</xdr:colOff>
      <xdr:row>73</xdr:row>
      <xdr:rowOff>14288</xdr:rowOff>
    </xdr:from>
    <xdr:to>
      <xdr:col>12</xdr:col>
      <xdr:colOff>128588</xdr:colOff>
      <xdr:row>73</xdr:row>
      <xdr:rowOff>176213</xdr:rowOff>
    </xdr:to>
    <xdr:pic>
      <xdr:nvPicPr>
        <xdr:cNvPr id="19" name="Picture 33">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5872163" y="14373226"/>
          <a:ext cx="1733550"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400049</xdr:colOff>
      <xdr:row>68</xdr:row>
      <xdr:rowOff>214312</xdr:rowOff>
    </xdr:from>
    <xdr:to>
      <xdr:col>11</xdr:col>
      <xdr:colOff>476646</xdr:colOff>
      <xdr:row>71</xdr:row>
      <xdr:rowOff>42863</xdr:rowOff>
    </xdr:to>
    <xdr:pic>
      <xdr:nvPicPr>
        <xdr:cNvPr id="20" name="Picture 30" descr="Graphical user interface, text, application&#10;&#10;Description automatically generated">
          <a:extLst>
            <a:ext uri="{FF2B5EF4-FFF2-40B4-BE49-F238E27FC236}">
              <a16:creationId xmlns:a16="http://schemas.microsoft.com/office/drawing/2014/main" id="{00000000-0008-0000-0D00-000014000000}"/>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5934074" y="13477875"/>
          <a:ext cx="1371997" cy="561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390525</xdr:colOff>
      <xdr:row>77</xdr:row>
      <xdr:rowOff>200026</xdr:rowOff>
    </xdr:from>
    <xdr:to>
      <xdr:col>12</xdr:col>
      <xdr:colOff>23812</xdr:colOff>
      <xdr:row>86</xdr:row>
      <xdr:rowOff>4943</xdr:rowOff>
    </xdr:to>
    <xdr:pic>
      <xdr:nvPicPr>
        <xdr:cNvPr id="21" name="Picture 32" descr="Graphical user interface&#10;&#10;Description automatically generated">
          <a:extLst>
            <a:ext uri="{FF2B5EF4-FFF2-40B4-BE49-F238E27FC236}">
              <a16:creationId xmlns:a16="http://schemas.microsoft.com/office/drawing/2014/main" id="{00000000-0008-0000-0D00-000015000000}"/>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5924550" y="15473364"/>
          <a:ext cx="1576387" cy="1619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7</xdr:col>
      <xdr:colOff>9525</xdr:colOff>
      <xdr:row>13</xdr:row>
      <xdr:rowOff>9525</xdr:rowOff>
    </xdr:from>
    <xdr:to>
      <xdr:col>14</xdr:col>
      <xdr:colOff>352425</xdr:colOff>
      <xdr:row>26</xdr:row>
      <xdr:rowOff>161925</xdr:rowOff>
    </xdr:to>
    <xdr:graphicFrame macro="">
      <xdr:nvGraphicFramePr>
        <xdr:cNvPr id="2" name="Chart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7</xdr:col>
          <xdr:colOff>19050</xdr:colOff>
          <xdr:row>4</xdr:row>
          <xdr:rowOff>9525</xdr:rowOff>
        </xdr:from>
        <xdr:to>
          <xdr:col>10</xdr:col>
          <xdr:colOff>80963</xdr:colOff>
          <xdr:row>4</xdr:row>
          <xdr:rowOff>171450</xdr:rowOff>
        </xdr:to>
        <xdr:sp macro="" textlink="">
          <xdr:nvSpPr>
            <xdr:cNvPr id="12289" name="Scroll Bar 1" hidden="1">
              <a:extLst>
                <a:ext uri="{63B3BB69-23CF-44E3-9099-C40C66FF867C}">
                  <a14:compatExt spid="_x0000_s12289"/>
                </a:ext>
                <a:ext uri="{FF2B5EF4-FFF2-40B4-BE49-F238E27FC236}">
                  <a16:creationId xmlns:a16="http://schemas.microsoft.com/office/drawing/2014/main" id="{00000000-0008-0000-0F00-0000013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Work/~%20Tables%202021/T106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Work/~%20Tables%202021/WinTalk/2d575d81-faf2-4cbf-9c75-279f16eb8657/Dashboard%202%20Examples%20&amp;%20Notesftest&amp;Dum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ape with Hyperlink"/>
      <sheetName val="Cell with 1 value"/>
      <sheetName val="Data Bar"/>
      <sheetName val="Chart &amp; moving group of values"/>
      <sheetName val="Chart &amp; changing no of values"/>
      <sheetName val="Chart with 2 Sliders"/>
      <sheetName val="Sheet1"/>
    </sheetNames>
    <sheetDataSet>
      <sheetData sheetId="0" refreshError="1"/>
      <sheetData sheetId="1" refreshError="1"/>
      <sheetData sheetId="2" refreshError="1"/>
      <sheetData sheetId="3" refreshError="1"/>
      <sheetData sheetId="4" refreshError="1"/>
      <sheetData sheetId="5" refreshError="1"/>
      <sheetData sheetId="6">
        <row r="3">
          <cell r="B3" t="str">
            <v>Date</v>
          </cell>
        </row>
        <row r="5">
          <cell r="N5">
            <v>7</v>
          </cell>
        </row>
        <row r="10">
          <cell r="N10">
            <v>1</v>
          </cell>
        </row>
        <row r="11">
          <cell r="N11">
            <v>14</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ape with Hyperlink"/>
      <sheetName val="Cell with 1 value"/>
      <sheetName val="Chart &amp; moving group of values"/>
      <sheetName val="Chart &amp; changing no of values"/>
      <sheetName val="Data Bar"/>
    </sheetNames>
    <sheetDataSet>
      <sheetData sheetId="0"/>
      <sheetData sheetId="1"/>
      <sheetData sheetId="2"/>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61FFDF-7B0C-4A19-9BC4-E3938B7A1D07}" name="Table2" displayName="Table2" ref="B6:F22" totalsRowShown="0" headerRowDxfId="6" dataDxfId="5">
  <autoFilter ref="B6:F22" xr:uid="{00000000-0009-0000-0100-000001000000}"/>
  <tableColumns count="5">
    <tableColumn id="1" xr3:uid="{01DD1A49-2180-4975-81A0-E8D7A5B0076D}" name="Date" dataDxfId="4"/>
    <tableColumn id="2" xr3:uid="{1F74E0EA-8263-4C08-BE13-7C494F123B90}" name="Weight" dataDxfId="3"/>
    <tableColumn id="3" xr3:uid="{3D518A30-DC81-4A56-9CDA-C1A407051126}" name="Height" dataDxfId="2"/>
    <tableColumn id="4" xr3:uid="{19FB1798-6022-4EE9-A1A7-CF3A5FC14347}" name="Workload" dataDxfId="1"/>
    <tableColumn id="5" xr3:uid="{85B3DE16-B27C-4D24-99BC-01A604EF1DAD}" name="Other"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4.xml"/><Relationship Id="rId1" Type="http://schemas.openxmlformats.org/officeDocument/2006/relationships/printerSettings" Target="../printerSettings/printerSettings10.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7.xml"/><Relationship Id="rId1" Type="http://schemas.openxmlformats.org/officeDocument/2006/relationships/printerSettings" Target="../printerSettings/printerSettings13.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6.bin"/><Relationship Id="rId5" Type="http://schemas.openxmlformats.org/officeDocument/2006/relationships/table" Target="../tables/table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F2C24-FD64-4405-A01F-989B10E57E83}">
  <sheetPr>
    <pageSetUpPr fitToPage="1"/>
  </sheetPr>
  <dimension ref="C1:O36"/>
  <sheetViews>
    <sheetView showGridLines="0" showRowColHeaders="0" tabSelected="1" zoomScale="90" zoomScaleNormal="90" workbookViewId="0">
      <selection activeCell="R8" sqref="R8"/>
    </sheetView>
  </sheetViews>
  <sheetFormatPr defaultRowHeight="14.25"/>
  <cols>
    <col min="1" max="1" width="4.3984375" style="157" customWidth="1"/>
    <col min="2" max="2" width="3.86328125" style="157" customWidth="1"/>
    <col min="3" max="16384" width="9.06640625" style="157"/>
  </cols>
  <sheetData>
    <row r="1" spans="3:15" ht="33">
      <c r="C1" s="171" t="s">
        <v>571</v>
      </c>
      <c r="D1" s="171"/>
      <c r="E1" s="171"/>
      <c r="F1" s="171"/>
      <c r="G1" s="171"/>
      <c r="H1" s="171"/>
      <c r="I1" s="171"/>
      <c r="J1" s="171"/>
      <c r="K1" s="171"/>
      <c r="L1" s="171"/>
      <c r="M1" s="171"/>
      <c r="N1" s="171"/>
      <c r="O1" s="171"/>
    </row>
    <row r="2" spans="3:15" ht="20.65">
      <c r="C2" s="172" t="s">
        <v>572</v>
      </c>
      <c r="D2" s="172"/>
      <c r="E2" s="172"/>
      <c r="F2" s="172"/>
      <c r="G2" s="172"/>
      <c r="H2" s="172"/>
      <c r="I2" s="172"/>
      <c r="J2" s="172"/>
      <c r="K2" s="172"/>
      <c r="L2" s="172"/>
      <c r="M2" s="172"/>
      <c r="N2" s="172"/>
      <c r="O2" s="172"/>
    </row>
    <row r="3" spans="3:15" ht="10.5" customHeight="1"/>
    <row r="4" spans="3:15" ht="18">
      <c r="C4" s="173" t="s">
        <v>573</v>
      </c>
      <c r="D4" s="173"/>
      <c r="E4" s="173"/>
      <c r="F4" s="173"/>
      <c r="G4" s="173"/>
      <c r="H4" s="173"/>
      <c r="I4" s="173"/>
      <c r="J4" s="173"/>
      <c r="K4" s="173"/>
      <c r="L4" s="173"/>
      <c r="M4" s="173"/>
      <c r="N4" s="173"/>
      <c r="O4" s="173"/>
    </row>
    <row r="5" spans="3:15" ht="10.5" customHeight="1">
      <c r="C5" s="158"/>
    </row>
    <row r="6" spans="3:15" ht="18">
      <c r="C6" s="173" t="s">
        <v>141</v>
      </c>
      <c r="D6" s="173"/>
      <c r="E6" s="173"/>
      <c r="F6" s="173"/>
      <c r="G6" s="173"/>
      <c r="H6" s="173"/>
      <c r="I6" s="173"/>
      <c r="J6" s="173"/>
      <c r="K6" s="173"/>
      <c r="L6" s="173"/>
      <c r="M6" s="173"/>
      <c r="N6" s="173"/>
      <c r="O6" s="173"/>
    </row>
    <row r="7" spans="3:15" ht="10.5" customHeight="1">
      <c r="C7" s="158"/>
    </row>
    <row r="8" spans="3:15" ht="18">
      <c r="C8" s="173" t="s">
        <v>587</v>
      </c>
      <c r="D8" s="173"/>
      <c r="E8" s="173"/>
      <c r="F8" s="173"/>
      <c r="G8" s="173"/>
      <c r="H8" s="173"/>
      <c r="I8" s="173"/>
      <c r="J8" s="173"/>
      <c r="K8" s="173"/>
      <c r="L8" s="173"/>
      <c r="M8" s="173"/>
      <c r="N8" s="173"/>
      <c r="O8" s="173"/>
    </row>
    <row r="9" spans="3:15" ht="10.5" customHeight="1">
      <c r="C9" s="158"/>
    </row>
    <row r="10" spans="3:15" ht="18">
      <c r="C10" s="173" t="s">
        <v>172</v>
      </c>
      <c r="D10" s="173"/>
      <c r="E10" s="173"/>
      <c r="F10" s="173"/>
      <c r="G10" s="173"/>
      <c r="H10" s="173"/>
      <c r="I10" s="173"/>
      <c r="J10" s="173"/>
      <c r="K10" s="173"/>
      <c r="L10" s="173"/>
      <c r="M10" s="173"/>
      <c r="N10" s="173"/>
      <c r="O10" s="173"/>
    </row>
    <row r="11" spans="3:15" ht="10.5" customHeight="1">
      <c r="C11" s="158"/>
    </row>
    <row r="12" spans="3:15" ht="18">
      <c r="C12" s="173" t="s">
        <v>574</v>
      </c>
      <c r="D12" s="173"/>
      <c r="E12" s="173"/>
      <c r="F12" s="173"/>
      <c r="G12" s="173"/>
      <c r="H12" s="173"/>
      <c r="I12" s="173"/>
      <c r="J12" s="173"/>
      <c r="K12" s="173"/>
      <c r="L12" s="173"/>
      <c r="M12" s="173"/>
      <c r="N12" s="173"/>
      <c r="O12" s="173"/>
    </row>
    <row r="13" spans="3:15" ht="10.5" customHeight="1">
      <c r="C13" s="158"/>
    </row>
    <row r="14" spans="3:15" ht="18">
      <c r="C14" s="173" t="s">
        <v>17</v>
      </c>
      <c r="D14" s="173"/>
      <c r="E14" s="173"/>
      <c r="F14" s="173"/>
      <c r="G14" s="173"/>
      <c r="H14" s="173"/>
      <c r="I14" s="173"/>
      <c r="J14" s="173"/>
      <c r="K14" s="173"/>
      <c r="L14" s="173"/>
      <c r="M14" s="173"/>
      <c r="N14" s="173"/>
      <c r="O14" s="173"/>
    </row>
    <row r="15" spans="3:15" ht="10.5" customHeight="1">
      <c r="C15" s="158"/>
    </row>
    <row r="16" spans="3:15" ht="18">
      <c r="C16" s="173" t="s">
        <v>210</v>
      </c>
      <c r="D16" s="173"/>
      <c r="E16" s="173"/>
      <c r="F16" s="173"/>
      <c r="G16" s="173"/>
      <c r="H16" s="173"/>
      <c r="I16" s="173"/>
      <c r="J16" s="173"/>
      <c r="K16" s="173"/>
      <c r="L16" s="173"/>
      <c r="M16" s="173"/>
      <c r="N16" s="173"/>
      <c r="O16" s="173"/>
    </row>
    <row r="17" spans="3:15" ht="10.5" customHeight="1">
      <c r="C17" s="158"/>
    </row>
    <row r="18" spans="3:15" ht="18">
      <c r="C18" s="173" t="s">
        <v>231</v>
      </c>
      <c r="D18" s="173"/>
      <c r="E18" s="173"/>
      <c r="F18" s="173"/>
      <c r="G18" s="173"/>
      <c r="H18" s="173"/>
      <c r="I18" s="173"/>
      <c r="J18" s="173"/>
      <c r="K18" s="173"/>
      <c r="L18" s="173"/>
      <c r="M18" s="173"/>
      <c r="N18" s="173"/>
      <c r="O18" s="173"/>
    </row>
    <row r="19" spans="3:15" ht="10.5" customHeight="1">
      <c r="C19" s="158"/>
    </row>
    <row r="20" spans="3:15" ht="18">
      <c r="C20" s="173" t="s">
        <v>313</v>
      </c>
      <c r="D20" s="173"/>
      <c r="E20" s="173"/>
      <c r="F20" s="173"/>
      <c r="G20" s="173"/>
      <c r="H20" s="173"/>
      <c r="I20" s="173"/>
      <c r="J20" s="173"/>
      <c r="K20" s="173"/>
      <c r="L20" s="173"/>
      <c r="M20" s="173"/>
      <c r="N20" s="173"/>
      <c r="O20" s="173"/>
    </row>
    <row r="21" spans="3:15" ht="10.5" customHeight="1">
      <c r="C21" s="158"/>
    </row>
    <row r="22" spans="3:15" ht="18">
      <c r="C22" s="173" t="s">
        <v>488</v>
      </c>
      <c r="D22" s="173"/>
      <c r="E22" s="173"/>
      <c r="F22" s="173"/>
      <c r="G22" s="173"/>
      <c r="H22" s="173"/>
      <c r="I22" s="173"/>
      <c r="J22" s="173"/>
      <c r="K22" s="173"/>
      <c r="L22" s="173"/>
      <c r="M22" s="173"/>
      <c r="N22" s="173"/>
      <c r="O22" s="173"/>
    </row>
    <row r="23" spans="3:15" ht="10.5" customHeight="1">
      <c r="C23" s="158"/>
    </row>
    <row r="24" spans="3:15" ht="18">
      <c r="C24" s="173" t="s">
        <v>575</v>
      </c>
      <c r="D24" s="173"/>
      <c r="E24" s="173"/>
      <c r="F24" s="173"/>
      <c r="G24" s="173"/>
      <c r="H24" s="173"/>
      <c r="I24" s="173"/>
      <c r="J24" s="173"/>
      <c r="K24" s="173"/>
      <c r="L24" s="173"/>
      <c r="M24" s="173"/>
      <c r="N24" s="173"/>
      <c r="O24" s="173"/>
    </row>
    <row r="25" spans="3:15" ht="10.5" customHeight="1">
      <c r="C25" s="158"/>
    </row>
    <row r="26" spans="3:15" ht="18">
      <c r="C26" s="173" t="s">
        <v>576</v>
      </c>
      <c r="D26" s="173"/>
      <c r="E26" s="173"/>
      <c r="F26" s="173"/>
      <c r="G26" s="173"/>
      <c r="H26" s="173"/>
      <c r="I26" s="173"/>
      <c r="J26" s="173"/>
      <c r="K26" s="173"/>
      <c r="L26" s="173"/>
      <c r="M26" s="173"/>
      <c r="N26" s="173"/>
      <c r="O26" s="173"/>
    </row>
    <row r="27" spans="3:15" ht="10.5" customHeight="1">
      <c r="C27" s="158"/>
    </row>
    <row r="28" spans="3:15" ht="18">
      <c r="C28" s="173" t="s">
        <v>617</v>
      </c>
      <c r="D28" s="173"/>
      <c r="E28" s="173"/>
      <c r="F28" s="173"/>
      <c r="G28" s="173"/>
      <c r="H28" s="173"/>
      <c r="I28" s="173"/>
      <c r="J28" s="173"/>
      <c r="K28" s="173"/>
      <c r="L28" s="173"/>
      <c r="M28" s="173"/>
      <c r="N28" s="173"/>
      <c r="O28" s="173"/>
    </row>
    <row r="29" spans="3:15" ht="10.5" customHeight="1">
      <c r="C29" s="158"/>
    </row>
    <row r="30" spans="3:15" ht="18">
      <c r="C30" s="173" t="s">
        <v>577</v>
      </c>
      <c r="D30" s="173"/>
      <c r="E30" s="173"/>
      <c r="F30" s="173"/>
      <c r="G30" s="173"/>
      <c r="H30" s="173"/>
      <c r="I30" s="173"/>
      <c r="J30" s="173"/>
      <c r="K30" s="173"/>
      <c r="L30" s="173"/>
      <c r="M30" s="173"/>
      <c r="N30" s="173"/>
      <c r="O30" s="173"/>
    </row>
    <row r="31" spans="3:15" ht="10.5" customHeight="1">
      <c r="C31" s="158"/>
    </row>
    <row r="32" spans="3:15" ht="18">
      <c r="C32" s="173" t="s">
        <v>522</v>
      </c>
      <c r="D32" s="173"/>
      <c r="E32" s="173"/>
      <c r="F32" s="173"/>
      <c r="G32" s="173"/>
      <c r="H32" s="173"/>
      <c r="I32" s="173"/>
      <c r="J32" s="173"/>
      <c r="K32" s="173"/>
      <c r="L32" s="173"/>
      <c r="M32" s="173"/>
      <c r="N32" s="173"/>
      <c r="O32" s="173"/>
    </row>
    <row r="33" spans="3:15" ht="10.5" customHeight="1">
      <c r="C33" s="158"/>
    </row>
    <row r="34" spans="3:15" ht="18">
      <c r="C34" s="173" t="s">
        <v>523</v>
      </c>
      <c r="D34" s="173"/>
      <c r="E34" s="173"/>
      <c r="F34" s="173"/>
      <c r="G34" s="173"/>
      <c r="H34" s="173"/>
      <c r="I34" s="173"/>
      <c r="J34" s="173"/>
      <c r="K34" s="173"/>
      <c r="L34" s="173"/>
      <c r="M34" s="173"/>
      <c r="N34" s="173"/>
      <c r="O34" s="173"/>
    </row>
    <row r="35" spans="3:15" ht="10.5" customHeight="1">
      <c r="C35" s="158"/>
    </row>
    <row r="36" spans="3:15" ht="18">
      <c r="C36" s="173" t="s">
        <v>374</v>
      </c>
      <c r="D36" s="173"/>
      <c r="E36" s="173"/>
      <c r="F36" s="173"/>
      <c r="G36" s="173"/>
      <c r="H36" s="173"/>
      <c r="I36" s="173"/>
      <c r="J36" s="173"/>
      <c r="K36" s="173"/>
      <c r="L36" s="173"/>
      <c r="M36" s="173"/>
      <c r="N36" s="173"/>
      <c r="O36" s="173"/>
    </row>
  </sheetData>
  <sheetProtection sheet="1" objects="1" scenarios="1"/>
  <mergeCells count="19">
    <mergeCell ref="C36:O36"/>
    <mergeCell ref="C4:O4"/>
    <mergeCell ref="C16:O16"/>
    <mergeCell ref="C18:O18"/>
    <mergeCell ref="C20:O20"/>
    <mergeCell ref="C22:O22"/>
    <mergeCell ref="C24:O24"/>
    <mergeCell ref="C26:O26"/>
    <mergeCell ref="C6:O6"/>
    <mergeCell ref="C10:O10"/>
    <mergeCell ref="C12:O12"/>
    <mergeCell ref="C14:O14"/>
    <mergeCell ref="C8:O8"/>
    <mergeCell ref="C1:O1"/>
    <mergeCell ref="C2:O2"/>
    <mergeCell ref="C30:O30"/>
    <mergeCell ref="C32:O32"/>
    <mergeCell ref="C34:O34"/>
    <mergeCell ref="C28:O28"/>
  </mergeCells>
  <hyperlinks>
    <hyperlink ref="C4:O4" location="'Quick Access Toolbar'!B1" display="'Quick Access Toolbar'!B1" xr:uid="{5D20C57C-6763-48D3-8F77-350472B7676A}"/>
    <hyperlink ref="C6:O6" location="General!B1" display="General!B1" xr:uid="{C8E7B80A-BF7F-4AEA-845A-1CD6F9D2D081}"/>
    <hyperlink ref="C10:O10" location="Time!B1" display="Time!B1" xr:uid="{0875BF0E-9B36-4D9C-A63B-179ACF6E0A8E}"/>
    <hyperlink ref="C12:O12" location="'Count &amp; Sumif'!B1" display="'Count &amp; Sumif'!B1" xr:uid="{9223F98E-B4AD-4DFC-8B6F-940A41567CAD}"/>
    <hyperlink ref="C14:O14" location="Subtotal!B1" display="Subtotal!B1" xr:uid="{BB19AFA5-4F2B-45CA-BD5A-8890736F0B25}"/>
    <hyperlink ref="C16:O16" location="Index!B1" display="Index!B1" xr:uid="{EFC45366-9AA5-48C2-ABB4-A0091122BC71}"/>
    <hyperlink ref="C18:O18" location="Match!B1" display="Match!B1" xr:uid="{5D6FEDCD-D282-4F33-B1F0-3A58B89BBF31}"/>
    <hyperlink ref="C20:O20" location="Vlookup!B1" display="Vlookup!B1" xr:uid="{0B35059B-1A68-40FE-B994-BC51E4E687F7}"/>
    <hyperlink ref="C22:O22" location="Validation!B1" display="Validation!B1" xr:uid="{09FADA36-2300-49A1-AB00-319548AF9721}"/>
    <hyperlink ref="C24:O24" location="Ranges!B1" display="Ranges!B1" xr:uid="{770EE511-5362-4C57-A77E-0386DAC6C235}"/>
    <hyperlink ref="C26:O26" location="Dbase!B1" display="Dbase!B1" xr:uid="{D1004288-4CEE-4B5C-80AC-AE9F6971A62A}"/>
    <hyperlink ref="C30:O30" location="Offset!B1" display="Offset!B1" xr:uid="{B0897F62-4FB6-4C2E-A6E5-B55B88DBFD8E}"/>
    <hyperlink ref="C32:O32" location="'Chart &amp; selected values'!B1" display="'Chart &amp; selected values'!B1" xr:uid="{ED85B34E-3CAA-4A7D-A0F2-ADA3A34704A1}"/>
    <hyperlink ref="C34:O34" location="Sheet1!B1" display="Sheet1!B1" xr:uid="{A2E2B0EA-F93B-48E0-B57A-2E49210B08CC}"/>
    <hyperlink ref="C36:O36" location="'Chart &amp; changing values'!E1" display="'Chart &amp; changing values'!E1" xr:uid="{AE1BF6A4-694C-4418-90C7-21D3157BC8C8}"/>
    <hyperlink ref="C8" location="Concatenate!B1" display="Concatenate!B1" xr:uid="{C4DF40B0-C37E-4631-AC27-C5DD7AEE4374}"/>
    <hyperlink ref="C28" location="'Pivot Tables'!B1" display="'Pivot Tables'!B1" xr:uid="{FF9B3EBB-AEA0-401B-8410-8040567F7F4A}"/>
  </hyperlinks>
  <pageMargins left="0.70866141732283472" right="0.70866141732283472" top="0.74803149606299213" bottom="0.74803149606299213" header="0.31496062992125984" footer="0.31496062992125984"/>
  <pageSetup paperSize="9" scale="93"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9C25E-E58B-4603-8C42-CD941EA8426B}">
  <sheetPr>
    <pageSetUpPr fitToPage="1"/>
  </sheetPr>
  <dimension ref="A1:AG56"/>
  <sheetViews>
    <sheetView workbookViewId="0">
      <selection activeCell="N2" sqref="N2:O2"/>
    </sheetView>
  </sheetViews>
  <sheetFormatPr defaultRowHeight="14.25"/>
  <cols>
    <col min="1" max="1" width="3.6640625" customWidth="1"/>
    <col min="2" max="2" width="9.59765625" customWidth="1"/>
    <col min="5" max="5" width="9.86328125" customWidth="1"/>
    <col min="15" max="15" width="11.53125" bestFit="1" customWidth="1"/>
    <col min="17" max="17" width="11" customWidth="1"/>
  </cols>
  <sheetData>
    <row r="1" spans="2:17" ht="18">
      <c r="B1" s="113" t="s">
        <v>313</v>
      </c>
      <c r="C1" s="114"/>
      <c r="D1" s="114"/>
      <c r="E1" s="114"/>
      <c r="F1" s="114"/>
      <c r="G1" s="114"/>
      <c r="H1" s="115"/>
      <c r="I1" s="114"/>
      <c r="J1" s="114"/>
      <c r="K1" s="114"/>
      <c r="L1" s="114"/>
      <c r="M1" s="114"/>
      <c r="N1" s="114"/>
      <c r="O1" s="114"/>
    </row>
    <row r="2" spans="2:17" ht="18">
      <c r="N2" s="175" t="s">
        <v>578</v>
      </c>
      <c r="O2" s="175"/>
    </row>
    <row r="3" spans="2:17" ht="29.25" customHeight="1">
      <c r="B3" s="177" t="s">
        <v>314</v>
      </c>
      <c r="C3" s="177"/>
      <c r="D3" s="177"/>
      <c r="E3" s="177"/>
      <c r="F3" s="177"/>
      <c r="G3" s="177"/>
      <c r="H3" s="177"/>
      <c r="I3" s="177"/>
      <c r="J3" s="177"/>
      <c r="K3" s="177"/>
      <c r="L3" s="177"/>
    </row>
    <row r="4" spans="2:17" ht="26.65" customHeight="1">
      <c r="B4" s="177" t="s">
        <v>335</v>
      </c>
      <c r="C4" s="177"/>
      <c r="D4" s="177"/>
      <c r="E4" s="177"/>
      <c r="F4" s="177"/>
      <c r="G4" s="177"/>
      <c r="H4" s="177"/>
      <c r="I4" s="177"/>
      <c r="J4" s="177"/>
      <c r="K4" s="177"/>
      <c r="L4" s="177"/>
    </row>
    <row r="5" spans="2:17" ht="17.25" customHeight="1">
      <c r="B5" s="177" t="s">
        <v>315</v>
      </c>
      <c r="C5" s="177"/>
      <c r="D5" s="177"/>
      <c r="E5" s="177"/>
      <c r="F5" s="177"/>
      <c r="G5" s="177"/>
      <c r="H5" s="177"/>
      <c r="I5" s="177"/>
      <c r="J5" s="177"/>
      <c r="K5" s="177"/>
      <c r="L5" s="177"/>
    </row>
    <row r="7" spans="2:17">
      <c r="E7" s="52" t="s">
        <v>127</v>
      </c>
    </row>
    <row r="8" spans="2:17">
      <c r="B8" t="s">
        <v>329</v>
      </c>
      <c r="E8" s="60">
        <f>VLOOKUP("Ballarat",G8:K19,3)</f>
        <v>108</v>
      </c>
      <c r="F8" s="62"/>
      <c r="G8" s="63"/>
      <c r="H8" s="63" t="s">
        <v>316</v>
      </c>
      <c r="I8" s="63" t="s">
        <v>317</v>
      </c>
      <c r="J8" s="63" t="s">
        <v>318</v>
      </c>
      <c r="K8" s="64" t="s">
        <v>319</v>
      </c>
    </row>
    <row r="9" spans="2:17">
      <c r="F9" s="72">
        <v>1</v>
      </c>
      <c r="G9" s="65" t="s">
        <v>320</v>
      </c>
      <c r="H9" s="66">
        <v>37</v>
      </c>
      <c r="I9" s="66">
        <v>2349</v>
      </c>
      <c r="J9" s="66">
        <v>4636</v>
      </c>
      <c r="K9" s="67">
        <v>7022</v>
      </c>
      <c r="M9" s="68" t="s">
        <v>316</v>
      </c>
    </row>
    <row r="10" spans="2:17">
      <c r="B10" t="s">
        <v>330</v>
      </c>
      <c r="E10" s="60">
        <f>VLOOKUP(4,F9:K19,4)</f>
        <v>108</v>
      </c>
      <c r="F10" s="72">
        <v>2</v>
      </c>
      <c r="G10" s="68" t="s">
        <v>321</v>
      </c>
      <c r="H10" s="69">
        <v>6</v>
      </c>
      <c r="I10" s="69">
        <v>15</v>
      </c>
      <c r="J10" s="69">
        <v>29</v>
      </c>
      <c r="K10" s="67">
        <v>50</v>
      </c>
      <c r="M10" s="68" t="s">
        <v>317</v>
      </c>
    </row>
    <row r="11" spans="2:17">
      <c r="C11" s="36"/>
      <c r="D11" s="36"/>
      <c r="E11" s="36"/>
      <c r="F11" s="72">
        <v>3</v>
      </c>
      <c r="G11" s="68" t="s">
        <v>322</v>
      </c>
      <c r="H11" s="69">
        <v>0</v>
      </c>
      <c r="I11" s="69">
        <v>7</v>
      </c>
      <c r="J11" s="69">
        <v>21</v>
      </c>
      <c r="K11" s="67">
        <v>28</v>
      </c>
      <c r="L11" s="36"/>
      <c r="M11" s="68" t="s">
        <v>318</v>
      </c>
    </row>
    <row r="12" spans="2:17">
      <c r="B12" s="73" t="s">
        <v>332</v>
      </c>
      <c r="C12" s="73"/>
      <c r="D12" s="73"/>
      <c r="E12" s="73"/>
      <c r="F12" s="72">
        <v>4</v>
      </c>
      <c r="G12" s="68" t="s">
        <v>323</v>
      </c>
      <c r="H12" s="69">
        <v>0</v>
      </c>
      <c r="I12" s="70">
        <v>108</v>
      </c>
      <c r="J12" s="69">
        <v>288</v>
      </c>
      <c r="K12" s="67">
        <v>396</v>
      </c>
      <c r="M12" s="68" t="s">
        <v>319</v>
      </c>
      <c r="N12" s="73" t="s">
        <v>333</v>
      </c>
      <c r="O12" s="73"/>
      <c r="P12" s="73"/>
      <c r="Q12" s="73"/>
    </row>
    <row r="13" spans="2:17">
      <c r="B13" s="73"/>
      <c r="C13" s="74">
        <v>4</v>
      </c>
      <c r="D13" s="73"/>
      <c r="E13" s="73"/>
      <c r="F13" s="72">
        <v>5</v>
      </c>
      <c r="G13" s="68" t="s">
        <v>35</v>
      </c>
      <c r="H13" s="69">
        <v>21</v>
      </c>
      <c r="I13" s="69">
        <v>352</v>
      </c>
      <c r="J13" s="69">
        <v>590</v>
      </c>
      <c r="K13" s="67">
        <v>963</v>
      </c>
      <c r="N13" s="73" t="s">
        <v>334</v>
      </c>
      <c r="O13" s="73"/>
      <c r="P13" s="73"/>
      <c r="Q13" s="73"/>
    </row>
    <row r="14" spans="2:17">
      <c r="B14" s="73"/>
      <c r="C14" s="73"/>
      <c r="D14" s="73"/>
      <c r="E14" s="73"/>
      <c r="F14" s="72">
        <v>6</v>
      </c>
      <c r="G14" s="68" t="s">
        <v>324</v>
      </c>
      <c r="H14" s="69">
        <v>0</v>
      </c>
      <c r="I14" s="69">
        <v>48</v>
      </c>
      <c r="J14" s="69">
        <v>50</v>
      </c>
      <c r="K14" s="67">
        <v>98</v>
      </c>
      <c r="N14" s="73"/>
      <c r="O14" s="73"/>
      <c r="P14" s="73"/>
      <c r="Q14" s="73"/>
    </row>
    <row r="15" spans="2:17">
      <c r="B15" s="73"/>
      <c r="C15" s="74">
        <v>2</v>
      </c>
      <c r="D15" s="73"/>
      <c r="E15" s="73"/>
      <c r="F15" s="72">
        <v>7</v>
      </c>
      <c r="G15" s="68" t="s">
        <v>325</v>
      </c>
      <c r="H15" s="69">
        <v>2</v>
      </c>
      <c r="I15" s="69">
        <v>41</v>
      </c>
      <c r="J15" s="69">
        <v>46</v>
      </c>
      <c r="K15" s="67">
        <v>89</v>
      </c>
      <c r="N15" s="74">
        <v>2</v>
      </c>
      <c r="O15" s="73"/>
      <c r="P15" s="73"/>
      <c r="Q15" s="73"/>
    </row>
    <row r="16" spans="2:17">
      <c r="B16" s="73"/>
      <c r="C16" s="73"/>
      <c r="D16" s="73"/>
      <c r="E16" s="73"/>
      <c r="F16" s="72">
        <v>8</v>
      </c>
      <c r="G16" s="68" t="s">
        <v>326</v>
      </c>
      <c r="H16" s="69">
        <v>2</v>
      </c>
      <c r="I16" s="69">
        <v>220</v>
      </c>
      <c r="J16" s="69">
        <v>522</v>
      </c>
      <c r="K16" s="67">
        <v>744</v>
      </c>
      <c r="N16" s="73"/>
      <c r="O16" s="75" t="str">
        <f>VLOOKUP(F9,$F$9:$K$19,2)</f>
        <v>Not Recorded</v>
      </c>
      <c r="P16" s="76">
        <f>VLOOKUP(F9,$F$9:$K$19,$N$15+2)</f>
        <v>2349</v>
      </c>
      <c r="Q16" s="73"/>
    </row>
    <row r="17" spans="1:33">
      <c r="B17" s="73" t="s">
        <v>331</v>
      </c>
      <c r="C17" s="73"/>
      <c r="D17" s="73"/>
      <c r="E17" s="73">
        <f>VLOOKUP(C13,F9:K19,C15+2)</f>
        <v>108</v>
      </c>
      <c r="F17" s="72">
        <v>9</v>
      </c>
      <c r="G17" s="68" t="s">
        <v>327</v>
      </c>
      <c r="H17" s="69">
        <v>2</v>
      </c>
      <c r="I17" s="69">
        <v>10</v>
      </c>
      <c r="J17" s="69">
        <v>20</v>
      </c>
      <c r="K17" s="67">
        <v>32</v>
      </c>
      <c r="N17" s="73"/>
      <c r="O17" s="75" t="str">
        <f>VLOOKUP(F10,$F$9:$K$19,2)</f>
        <v>Alpine</v>
      </c>
      <c r="P17" s="76">
        <f>VLOOKUP(F10,$F$9:$K$19,$N$15+2)</f>
        <v>15</v>
      </c>
      <c r="Q17" s="73"/>
    </row>
    <row r="18" spans="1:33">
      <c r="F18" s="72">
        <v>10</v>
      </c>
      <c r="G18" s="68" t="s">
        <v>37</v>
      </c>
      <c r="H18" s="69">
        <v>16</v>
      </c>
      <c r="I18" s="69">
        <v>558</v>
      </c>
      <c r="J18" s="69">
        <v>2080</v>
      </c>
      <c r="K18" s="67">
        <v>2654</v>
      </c>
      <c r="N18" s="73"/>
      <c r="O18" s="75" t="str">
        <f>VLOOKUP(F11,$F$9:$K$19,2)</f>
        <v>Ararat</v>
      </c>
      <c r="P18" s="76">
        <f>VLOOKUP(F11,$F$9:$K$19,$N$15+2)</f>
        <v>7</v>
      </c>
      <c r="Q18" s="73"/>
    </row>
    <row r="19" spans="1:33">
      <c r="F19" s="72">
        <v>11</v>
      </c>
      <c r="G19" s="68" t="s">
        <v>328</v>
      </c>
      <c r="H19" s="69">
        <v>386</v>
      </c>
      <c r="I19" s="69">
        <v>1004</v>
      </c>
      <c r="J19" s="69">
        <v>1767</v>
      </c>
      <c r="K19" s="67">
        <v>3157</v>
      </c>
      <c r="N19" s="73"/>
      <c r="O19" s="75" t="str">
        <f>VLOOKUP(F12,$F$9:$K$19,2)</f>
        <v>Ballarat</v>
      </c>
      <c r="P19" s="76">
        <f>VLOOKUP(F12,$F$9:$K$19,$N$15+2)</f>
        <v>108</v>
      </c>
      <c r="Q19" s="73"/>
    </row>
    <row r="24" spans="1:33">
      <c r="B24" s="12" t="s">
        <v>336</v>
      </c>
    </row>
    <row r="25" spans="1:33">
      <c r="B25" s="12"/>
    </row>
    <row r="26" spans="1:33">
      <c r="B26" s="12"/>
    </row>
    <row r="27" spans="1:33">
      <c r="A27" s="80" t="s">
        <v>337</v>
      </c>
      <c r="B27" s="17" t="s">
        <v>338</v>
      </c>
      <c r="D27" t="s">
        <v>581</v>
      </c>
    </row>
    <row r="28" spans="1:33">
      <c r="A28" s="81"/>
      <c r="H28" s="78" t="str">
        <f>IF(ISBLANK(H30),"empty","")</f>
        <v/>
      </c>
      <c r="I28" s="78" t="str">
        <f t="shared" ref="I28:AG28" si="0">IF(ISBLANK(I30),"empty","")</f>
        <v/>
      </c>
      <c r="J28" s="78" t="str">
        <f t="shared" si="0"/>
        <v/>
      </c>
      <c r="K28" s="78" t="str">
        <f t="shared" si="0"/>
        <v/>
      </c>
      <c r="L28" s="78" t="str">
        <f t="shared" si="0"/>
        <v/>
      </c>
      <c r="M28" s="78" t="str">
        <f t="shared" si="0"/>
        <v/>
      </c>
      <c r="N28" s="78" t="str">
        <f t="shared" si="0"/>
        <v/>
      </c>
      <c r="O28" s="78" t="str">
        <f t="shared" si="0"/>
        <v/>
      </c>
      <c r="P28" s="78" t="str">
        <f t="shared" si="0"/>
        <v/>
      </c>
      <c r="Q28" s="78" t="str">
        <f t="shared" si="0"/>
        <v/>
      </c>
      <c r="R28" s="78" t="str">
        <f t="shared" si="0"/>
        <v/>
      </c>
      <c r="S28" s="78" t="str">
        <f t="shared" si="0"/>
        <v/>
      </c>
      <c r="T28" s="78" t="str">
        <f t="shared" si="0"/>
        <v/>
      </c>
      <c r="U28" s="78" t="str">
        <f t="shared" si="0"/>
        <v/>
      </c>
      <c r="V28" s="78" t="str">
        <f t="shared" si="0"/>
        <v/>
      </c>
      <c r="W28" s="78" t="str">
        <f t="shared" si="0"/>
        <v/>
      </c>
      <c r="X28" s="78" t="str">
        <f t="shared" si="0"/>
        <v/>
      </c>
      <c r="Y28" s="78" t="str">
        <f t="shared" si="0"/>
        <v/>
      </c>
      <c r="Z28" s="78" t="str">
        <f t="shared" si="0"/>
        <v/>
      </c>
      <c r="AA28" s="78" t="str">
        <f t="shared" si="0"/>
        <v/>
      </c>
      <c r="AB28" s="78" t="str">
        <f t="shared" si="0"/>
        <v>empty</v>
      </c>
      <c r="AC28" s="78" t="str">
        <f t="shared" si="0"/>
        <v>empty</v>
      </c>
      <c r="AD28" s="78" t="str">
        <f t="shared" si="0"/>
        <v>empty</v>
      </c>
      <c r="AE28" s="78" t="str">
        <f t="shared" si="0"/>
        <v>empty</v>
      </c>
      <c r="AF28" s="78" t="str">
        <f t="shared" si="0"/>
        <v>empty</v>
      </c>
      <c r="AG28" s="78" t="str">
        <f t="shared" si="0"/>
        <v>empty</v>
      </c>
    </row>
    <row r="29" spans="1:33">
      <c r="A29" s="81"/>
      <c r="F29" s="72">
        <v>1</v>
      </c>
      <c r="G29" s="63"/>
      <c r="H29" s="77">
        <v>43831</v>
      </c>
      <c r="I29" s="77">
        <v>43862</v>
      </c>
      <c r="J29" s="77">
        <v>43891</v>
      </c>
      <c r="K29" s="77">
        <v>43922</v>
      </c>
      <c r="L29" s="77">
        <v>43952</v>
      </c>
      <c r="M29" s="77">
        <v>43983</v>
      </c>
      <c r="N29" s="77">
        <v>44013</v>
      </c>
      <c r="O29" s="77">
        <v>44044</v>
      </c>
      <c r="P29" s="77">
        <v>44075</v>
      </c>
      <c r="Q29" s="77">
        <v>44105</v>
      </c>
      <c r="R29" s="77">
        <v>44136</v>
      </c>
      <c r="S29" s="77">
        <v>44166</v>
      </c>
      <c r="T29" s="77">
        <v>44197</v>
      </c>
      <c r="U29" s="77">
        <v>44228</v>
      </c>
      <c r="V29" s="77">
        <v>44256</v>
      </c>
      <c r="W29" s="77">
        <v>44287</v>
      </c>
      <c r="X29" s="77">
        <v>44317</v>
      </c>
      <c r="Y29" s="77">
        <v>44348</v>
      </c>
      <c r="Z29" s="77">
        <v>44378</v>
      </c>
      <c r="AA29" s="77">
        <v>44409</v>
      </c>
      <c r="AB29" s="77">
        <v>44440</v>
      </c>
      <c r="AC29" s="77">
        <v>44470</v>
      </c>
      <c r="AD29" s="77">
        <v>44501</v>
      </c>
      <c r="AE29" s="77">
        <v>44531</v>
      </c>
      <c r="AF29" s="77">
        <v>44562</v>
      </c>
      <c r="AG29" s="77">
        <v>44593</v>
      </c>
    </row>
    <row r="30" spans="1:33">
      <c r="A30" s="81"/>
      <c r="F30" s="72">
        <v>2</v>
      </c>
      <c r="G30" s="65" t="s">
        <v>320</v>
      </c>
      <c r="H30" s="85">
        <v>37</v>
      </c>
      <c r="I30" s="85">
        <v>2349</v>
      </c>
      <c r="J30" s="85">
        <v>4636</v>
      </c>
      <c r="K30" s="85">
        <v>7022</v>
      </c>
      <c r="L30" s="85">
        <v>219</v>
      </c>
      <c r="M30" s="85">
        <v>292</v>
      </c>
      <c r="N30" s="85">
        <v>658</v>
      </c>
      <c r="O30" s="85">
        <v>172</v>
      </c>
      <c r="P30" s="85">
        <v>409</v>
      </c>
      <c r="Q30" s="85">
        <v>538</v>
      </c>
      <c r="R30" s="85">
        <v>931</v>
      </c>
      <c r="S30" s="85">
        <v>465</v>
      </c>
      <c r="T30" s="85">
        <v>753</v>
      </c>
      <c r="U30" s="85">
        <v>502</v>
      </c>
      <c r="V30" s="85">
        <v>141</v>
      </c>
      <c r="W30" s="85">
        <v>316</v>
      </c>
      <c r="X30" s="85">
        <v>226</v>
      </c>
      <c r="Y30" s="85">
        <v>450</v>
      </c>
      <c r="Z30" s="85">
        <v>220</v>
      </c>
      <c r="AA30" s="85">
        <v>971</v>
      </c>
      <c r="AB30" s="66"/>
      <c r="AC30" s="66"/>
      <c r="AD30" s="66"/>
      <c r="AE30" s="66"/>
      <c r="AF30" s="66"/>
      <c r="AG30" s="66"/>
    </row>
    <row r="31" spans="1:33">
      <c r="A31" s="81"/>
      <c r="F31" s="72">
        <v>3</v>
      </c>
      <c r="G31" s="68" t="s">
        <v>321</v>
      </c>
      <c r="H31" s="85">
        <v>6</v>
      </c>
      <c r="I31" s="85">
        <v>15</v>
      </c>
      <c r="J31" s="85">
        <v>29</v>
      </c>
      <c r="K31" s="85">
        <v>50</v>
      </c>
      <c r="L31" s="85">
        <v>775</v>
      </c>
      <c r="M31" s="85">
        <v>906</v>
      </c>
      <c r="N31" s="85">
        <v>146</v>
      </c>
      <c r="O31" s="85">
        <v>207</v>
      </c>
      <c r="P31" s="85">
        <v>709</v>
      </c>
      <c r="Q31" s="85">
        <v>922</v>
      </c>
      <c r="R31" s="85">
        <v>651</v>
      </c>
      <c r="S31" s="85">
        <v>765</v>
      </c>
      <c r="T31" s="85">
        <v>188</v>
      </c>
      <c r="U31" s="85">
        <v>399</v>
      </c>
      <c r="V31" s="85">
        <v>989</v>
      </c>
      <c r="W31" s="85">
        <v>727</v>
      </c>
      <c r="X31" s="85">
        <v>666</v>
      </c>
      <c r="Y31" s="85">
        <v>290</v>
      </c>
      <c r="Z31" s="85">
        <v>120</v>
      </c>
      <c r="AA31" s="85">
        <v>791</v>
      </c>
      <c r="AB31" s="66"/>
      <c r="AC31" s="66"/>
      <c r="AD31" s="66"/>
      <c r="AE31" s="66"/>
      <c r="AF31" s="66"/>
      <c r="AG31" s="66"/>
    </row>
    <row r="32" spans="1:33">
      <c r="A32" s="80" t="s">
        <v>340</v>
      </c>
      <c r="B32" t="s">
        <v>341</v>
      </c>
      <c r="F32" s="72">
        <v>4</v>
      </c>
      <c r="G32" s="68" t="s">
        <v>322</v>
      </c>
      <c r="H32" s="85">
        <v>0</v>
      </c>
      <c r="I32" s="85">
        <v>7</v>
      </c>
      <c r="J32" s="85">
        <v>21</v>
      </c>
      <c r="K32" s="85">
        <v>28</v>
      </c>
      <c r="L32" s="85">
        <v>695</v>
      </c>
      <c r="M32" s="85">
        <v>219</v>
      </c>
      <c r="N32" s="85">
        <v>971</v>
      </c>
      <c r="O32" s="85">
        <v>973</v>
      </c>
      <c r="P32" s="85">
        <v>241</v>
      </c>
      <c r="Q32" s="85">
        <v>771</v>
      </c>
      <c r="R32" s="85">
        <v>953</v>
      </c>
      <c r="S32" s="85">
        <v>424</v>
      </c>
      <c r="T32" s="85">
        <v>503</v>
      </c>
      <c r="U32" s="85">
        <v>666</v>
      </c>
      <c r="V32" s="85">
        <v>478</v>
      </c>
      <c r="W32" s="85">
        <v>222</v>
      </c>
      <c r="X32" s="85">
        <v>502</v>
      </c>
      <c r="Y32" s="85">
        <v>865</v>
      </c>
      <c r="Z32" s="85">
        <v>796</v>
      </c>
      <c r="AA32" s="85">
        <v>682</v>
      </c>
      <c r="AB32" s="66"/>
      <c r="AC32" s="66"/>
      <c r="AD32" s="66"/>
      <c r="AE32" s="66"/>
      <c r="AF32" s="66"/>
      <c r="AG32" s="66"/>
    </row>
    <row r="33" spans="1:33">
      <c r="A33" s="81"/>
      <c r="B33" t="s">
        <v>349</v>
      </c>
      <c r="F33" s="72">
        <v>5</v>
      </c>
      <c r="G33" s="68" t="s">
        <v>323</v>
      </c>
      <c r="H33" s="85">
        <v>0</v>
      </c>
      <c r="I33" s="85">
        <v>108</v>
      </c>
      <c r="J33" s="85">
        <v>288</v>
      </c>
      <c r="K33" s="85">
        <v>396</v>
      </c>
      <c r="L33" s="85">
        <v>397</v>
      </c>
      <c r="M33" s="85">
        <v>628</v>
      </c>
      <c r="N33" s="85">
        <v>290</v>
      </c>
      <c r="O33" s="85">
        <v>188</v>
      </c>
      <c r="P33" s="85">
        <v>709</v>
      </c>
      <c r="Q33" s="85">
        <v>413</v>
      </c>
      <c r="R33" s="85">
        <v>766</v>
      </c>
      <c r="S33" s="85">
        <v>618</v>
      </c>
      <c r="T33" s="85">
        <v>442</v>
      </c>
      <c r="U33" s="85">
        <v>417</v>
      </c>
      <c r="V33" s="85">
        <v>807</v>
      </c>
      <c r="W33" s="85">
        <v>504</v>
      </c>
      <c r="X33" s="85">
        <v>560</v>
      </c>
      <c r="Y33" s="85">
        <v>485</v>
      </c>
      <c r="Z33" s="85">
        <v>602</v>
      </c>
      <c r="AA33" s="85">
        <v>924</v>
      </c>
      <c r="AB33" s="66"/>
      <c r="AC33" s="66"/>
      <c r="AD33" s="66"/>
      <c r="AE33" s="66"/>
      <c r="AF33" s="66"/>
      <c r="AG33" s="66"/>
    </row>
    <row r="34" spans="1:33">
      <c r="A34" s="81"/>
      <c r="D34" s="52" t="s">
        <v>127</v>
      </c>
      <c r="F34" s="72">
        <v>6</v>
      </c>
      <c r="G34" s="68" t="s">
        <v>35</v>
      </c>
      <c r="H34" s="85">
        <v>21</v>
      </c>
      <c r="I34" s="85">
        <v>352</v>
      </c>
      <c r="J34" s="85">
        <v>590</v>
      </c>
      <c r="K34" s="85">
        <v>963</v>
      </c>
      <c r="L34" s="85">
        <v>819</v>
      </c>
      <c r="M34" s="85">
        <v>678</v>
      </c>
      <c r="N34" s="85">
        <v>473</v>
      </c>
      <c r="O34" s="85">
        <v>645</v>
      </c>
      <c r="P34" s="85">
        <v>995</v>
      </c>
      <c r="Q34" s="85">
        <v>582</v>
      </c>
      <c r="R34" s="85">
        <v>602</v>
      </c>
      <c r="S34" s="85">
        <v>184</v>
      </c>
      <c r="T34" s="85">
        <v>232</v>
      </c>
      <c r="U34" s="85">
        <v>617</v>
      </c>
      <c r="V34" s="85">
        <v>762</v>
      </c>
      <c r="W34" s="85">
        <v>259</v>
      </c>
      <c r="X34" s="85">
        <v>538</v>
      </c>
      <c r="Y34" s="85">
        <v>331</v>
      </c>
      <c r="Z34" s="85">
        <v>126</v>
      </c>
      <c r="AA34" s="85">
        <v>415</v>
      </c>
      <c r="AB34" s="66"/>
      <c r="AC34" s="66"/>
      <c r="AD34" s="66"/>
      <c r="AE34" s="66"/>
      <c r="AF34" s="66"/>
      <c r="AG34" s="66"/>
    </row>
    <row r="35" spans="1:33">
      <c r="A35" s="81"/>
      <c r="B35" t="s">
        <v>339</v>
      </c>
      <c r="D35" s="71">
        <f>MATCH("empty",H28:AG28)</f>
        <v>26</v>
      </c>
      <c r="F35" s="72">
        <v>7</v>
      </c>
      <c r="G35" s="68" t="s">
        <v>324</v>
      </c>
      <c r="H35" s="85">
        <v>0</v>
      </c>
      <c r="I35" s="85">
        <v>48</v>
      </c>
      <c r="J35" s="85">
        <v>50</v>
      </c>
      <c r="K35" s="85">
        <v>98</v>
      </c>
      <c r="L35" s="85">
        <v>376</v>
      </c>
      <c r="M35" s="85">
        <v>433</v>
      </c>
      <c r="N35" s="85">
        <v>566</v>
      </c>
      <c r="O35" s="85">
        <v>801</v>
      </c>
      <c r="P35" s="85">
        <v>323</v>
      </c>
      <c r="Q35" s="85">
        <v>340</v>
      </c>
      <c r="R35" s="85">
        <v>913</v>
      </c>
      <c r="S35" s="85">
        <v>817</v>
      </c>
      <c r="T35" s="85">
        <v>594</v>
      </c>
      <c r="U35" s="85">
        <v>260</v>
      </c>
      <c r="V35" s="85">
        <v>709</v>
      </c>
      <c r="W35" s="85">
        <v>785</v>
      </c>
      <c r="X35" s="85">
        <v>502</v>
      </c>
      <c r="Y35" s="85">
        <v>546</v>
      </c>
      <c r="Z35" s="85">
        <v>207</v>
      </c>
      <c r="AA35" s="85">
        <v>998</v>
      </c>
      <c r="AB35" s="66"/>
      <c r="AC35" s="66"/>
      <c r="AD35" s="66"/>
      <c r="AE35" s="66"/>
      <c r="AF35" s="66"/>
      <c r="AG35" s="66"/>
    </row>
    <row r="36" spans="1:33">
      <c r="A36" s="81"/>
      <c r="F36" s="72">
        <v>8</v>
      </c>
      <c r="G36" s="68" t="s">
        <v>325</v>
      </c>
      <c r="H36" s="85">
        <v>2</v>
      </c>
      <c r="I36" s="85">
        <v>41</v>
      </c>
      <c r="J36" s="85">
        <v>46</v>
      </c>
      <c r="K36" s="85">
        <v>89</v>
      </c>
      <c r="L36" s="85">
        <v>937</v>
      </c>
      <c r="M36" s="85">
        <v>327</v>
      </c>
      <c r="N36" s="85">
        <v>847</v>
      </c>
      <c r="O36" s="85">
        <v>693</v>
      </c>
      <c r="P36" s="85">
        <v>291</v>
      </c>
      <c r="Q36" s="85">
        <v>421</v>
      </c>
      <c r="R36" s="85">
        <v>657</v>
      </c>
      <c r="S36" s="85">
        <v>604</v>
      </c>
      <c r="T36" s="85">
        <v>531</v>
      </c>
      <c r="U36" s="85">
        <v>989</v>
      </c>
      <c r="V36" s="85">
        <v>218</v>
      </c>
      <c r="W36" s="85">
        <v>327</v>
      </c>
      <c r="X36" s="85">
        <v>353</v>
      </c>
      <c r="Y36" s="85">
        <v>351</v>
      </c>
      <c r="Z36" s="85">
        <v>434</v>
      </c>
      <c r="AA36" s="85">
        <v>861</v>
      </c>
      <c r="AB36" s="66"/>
      <c r="AC36" s="66"/>
      <c r="AD36" s="66"/>
      <c r="AE36" s="66"/>
      <c r="AF36" s="66"/>
      <c r="AG36" s="66"/>
    </row>
    <row r="37" spans="1:33">
      <c r="A37" s="81"/>
      <c r="F37" s="72">
        <v>9</v>
      </c>
      <c r="G37" s="68" t="s">
        <v>326</v>
      </c>
      <c r="H37" s="85">
        <v>2</v>
      </c>
      <c r="I37" s="85">
        <v>220</v>
      </c>
      <c r="J37" s="85">
        <v>522</v>
      </c>
      <c r="K37" s="85">
        <v>744</v>
      </c>
      <c r="L37" s="85">
        <v>103</v>
      </c>
      <c r="M37" s="85">
        <v>655</v>
      </c>
      <c r="N37" s="85">
        <v>627</v>
      </c>
      <c r="O37" s="85">
        <v>679</v>
      </c>
      <c r="P37" s="85">
        <v>229</v>
      </c>
      <c r="Q37" s="85">
        <v>619</v>
      </c>
      <c r="R37" s="85">
        <v>128</v>
      </c>
      <c r="S37" s="85">
        <v>354</v>
      </c>
      <c r="T37" s="85">
        <v>603</v>
      </c>
      <c r="U37" s="85">
        <v>956</v>
      </c>
      <c r="V37" s="85">
        <v>398</v>
      </c>
      <c r="W37" s="85">
        <v>393</v>
      </c>
      <c r="X37" s="85">
        <v>816</v>
      </c>
      <c r="Y37" s="85">
        <v>718</v>
      </c>
      <c r="Z37" s="85">
        <v>511</v>
      </c>
      <c r="AA37" s="85">
        <v>412</v>
      </c>
      <c r="AB37" s="66"/>
      <c r="AC37" s="66"/>
      <c r="AD37" s="66"/>
      <c r="AE37" s="66"/>
      <c r="AF37" s="66"/>
      <c r="AG37" s="66"/>
    </row>
    <row r="38" spans="1:33">
      <c r="A38" s="81"/>
      <c r="F38" s="72">
        <v>10</v>
      </c>
      <c r="G38" s="68" t="s">
        <v>327</v>
      </c>
      <c r="H38" s="85">
        <v>2</v>
      </c>
      <c r="I38" s="85">
        <v>10</v>
      </c>
      <c r="J38" s="85">
        <v>20</v>
      </c>
      <c r="K38" s="85">
        <v>32</v>
      </c>
      <c r="L38" s="85">
        <v>472</v>
      </c>
      <c r="M38" s="85">
        <v>714</v>
      </c>
      <c r="N38" s="85">
        <v>803</v>
      </c>
      <c r="O38" s="85">
        <v>253</v>
      </c>
      <c r="P38" s="85">
        <v>121</v>
      </c>
      <c r="Q38" s="85">
        <v>730</v>
      </c>
      <c r="R38" s="85">
        <v>458</v>
      </c>
      <c r="S38" s="85">
        <v>606</v>
      </c>
      <c r="T38" s="85">
        <v>440</v>
      </c>
      <c r="U38" s="85">
        <v>135</v>
      </c>
      <c r="V38" s="85">
        <v>566</v>
      </c>
      <c r="W38" s="85">
        <v>538</v>
      </c>
      <c r="X38" s="85">
        <v>126</v>
      </c>
      <c r="Y38" s="85">
        <v>300</v>
      </c>
      <c r="Z38" s="85">
        <v>113</v>
      </c>
      <c r="AA38" s="85">
        <v>961</v>
      </c>
      <c r="AB38" s="66"/>
      <c r="AC38" s="66"/>
      <c r="AD38" s="66"/>
      <c r="AE38" s="66"/>
      <c r="AF38" s="66"/>
      <c r="AG38" s="66"/>
    </row>
    <row r="39" spans="1:33">
      <c r="A39" s="81"/>
      <c r="F39" s="72">
        <v>11</v>
      </c>
      <c r="G39" s="68" t="s">
        <v>37</v>
      </c>
      <c r="H39" s="85">
        <v>16</v>
      </c>
      <c r="I39" s="85">
        <v>558</v>
      </c>
      <c r="J39" s="85">
        <v>2080</v>
      </c>
      <c r="K39" s="85">
        <v>2654</v>
      </c>
      <c r="L39" s="85">
        <v>252</v>
      </c>
      <c r="M39" s="85">
        <v>205</v>
      </c>
      <c r="N39" s="85">
        <v>891</v>
      </c>
      <c r="O39" s="85">
        <v>582</v>
      </c>
      <c r="P39" s="85">
        <v>631</v>
      </c>
      <c r="Q39" s="85">
        <v>945</v>
      </c>
      <c r="R39" s="85">
        <v>883</v>
      </c>
      <c r="S39" s="85">
        <v>939</v>
      </c>
      <c r="T39" s="85">
        <v>470</v>
      </c>
      <c r="U39" s="85">
        <v>824</v>
      </c>
      <c r="V39" s="85">
        <v>857</v>
      </c>
      <c r="W39" s="85">
        <v>963</v>
      </c>
      <c r="X39" s="85">
        <v>381</v>
      </c>
      <c r="Y39" s="85">
        <v>360</v>
      </c>
      <c r="Z39" s="85">
        <v>900</v>
      </c>
      <c r="AA39" s="85">
        <v>230</v>
      </c>
      <c r="AB39" s="66"/>
      <c r="AC39" s="66"/>
      <c r="AD39" s="66"/>
      <c r="AE39" s="66"/>
      <c r="AF39" s="66"/>
      <c r="AG39" s="66"/>
    </row>
    <row r="40" spans="1:33">
      <c r="A40" s="81"/>
      <c r="F40" s="72">
        <v>12</v>
      </c>
      <c r="G40" s="68" t="s">
        <v>328</v>
      </c>
      <c r="H40" s="85">
        <v>386</v>
      </c>
      <c r="I40" s="85">
        <v>1004</v>
      </c>
      <c r="J40" s="85">
        <v>1767</v>
      </c>
      <c r="K40" s="85">
        <v>3157</v>
      </c>
      <c r="L40" s="85">
        <v>384</v>
      </c>
      <c r="M40" s="85">
        <v>668</v>
      </c>
      <c r="N40" s="85">
        <v>786</v>
      </c>
      <c r="O40" s="85">
        <v>839</v>
      </c>
      <c r="P40" s="85">
        <v>697</v>
      </c>
      <c r="Q40" s="85">
        <v>650</v>
      </c>
      <c r="R40" s="85">
        <v>101</v>
      </c>
      <c r="S40" s="85">
        <v>286</v>
      </c>
      <c r="T40" s="85">
        <v>391</v>
      </c>
      <c r="U40" s="85">
        <v>476</v>
      </c>
      <c r="V40" s="85">
        <v>471</v>
      </c>
      <c r="W40" s="85">
        <v>841</v>
      </c>
      <c r="X40" s="85">
        <v>827</v>
      </c>
      <c r="Y40" s="85">
        <v>731</v>
      </c>
      <c r="Z40" s="85">
        <v>139</v>
      </c>
      <c r="AA40" s="85">
        <v>984</v>
      </c>
      <c r="AB40" s="66"/>
      <c r="AC40" s="66"/>
      <c r="AD40" s="66"/>
      <c r="AE40" s="66"/>
      <c r="AF40" s="66"/>
      <c r="AG40" s="66"/>
    </row>
    <row r="41" spans="1:33">
      <c r="A41" s="80" t="s">
        <v>342</v>
      </c>
      <c r="B41" t="s">
        <v>343</v>
      </c>
    </row>
    <row r="42" spans="1:33">
      <c r="D42" s="32">
        <v>3</v>
      </c>
    </row>
    <row r="43" spans="1:33">
      <c r="D43" s="1"/>
    </row>
    <row r="44" spans="1:33">
      <c r="A44" t="s">
        <v>344</v>
      </c>
      <c r="D44" s="1"/>
      <c r="G44" s="11">
        <v>1</v>
      </c>
      <c r="H44" s="11">
        <v>12</v>
      </c>
      <c r="I44" s="11">
        <v>11</v>
      </c>
      <c r="J44" s="11">
        <v>10</v>
      </c>
      <c r="K44" s="11">
        <v>9</v>
      </c>
      <c r="L44" s="11">
        <v>8</v>
      </c>
      <c r="M44" s="11">
        <v>7</v>
      </c>
      <c r="N44" s="11">
        <v>6</v>
      </c>
      <c r="O44" s="11">
        <v>5</v>
      </c>
      <c r="P44" s="11">
        <v>4</v>
      </c>
      <c r="Q44" s="11">
        <v>3</v>
      </c>
      <c r="R44" s="11">
        <v>2</v>
      </c>
      <c r="S44" s="11">
        <v>1</v>
      </c>
    </row>
    <row r="45" spans="1:33">
      <c r="A45" t="s">
        <v>345</v>
      </c>
      <c r="D45" s="32"/>
      <c r="F45" s="72"/>
      <c r="G45" s="60"/>
      <c r="H45" s="77">
        <f>VLOOKUP(1,$F$29:$AG$40,MATCH("empty",$H$28:$AG$28,0)-H44+2)</f>
        <v>44075</v>
      </c>
      <c r="I45" s="77">
        <f t="shared" ref="I45:S45" si="1">VLOOKUP(1,$F$29:$AG$40,MATCH("empty",$H$28:$AG$28,0)-I44+2)</f>
        <v>44105</v>
      </c>
      <c r="J45" s="77">
        <f t="shared" si="1"/>
        <v>44136</v>
      </c>
      <c r="K45" s="77">
        <f t="shared" si="1"/>
        <v>44166</v>
      </c>
      <c r="L45" s="77">
        <f t="shared" si="1"/>
        <v>44197</v>
      </c>
      <c r="M45" s="77">
        <f t="shared" si="1"/>
        <v>44228</v>
      </c>
      <c r="N45" s="77">
        <f t="shared" si="1"/>
        <v>44256</v>
      </c>
      <c r="O45" s="77">
        <f t="shared" si="1"/>
        <v>44287</v>
      </c>
      <c r="P45" s="77">
        <f t="shared" si="1"/>
        <v>44317</v>
      </c>
      <c r="Q45" s="77">
        <f t="shared" si="1"/>
        <v>44348</v>
      </c>
      <c r="R45" s="77">
        <f t="shared" si="1"/>
        <v>44378</v>
      </c>
      <c r="S45" s="77">
        <f t="shared" si="1"/>
        <v>44409</v>
      </c>
    </row>
    <row r="46" spans="1:33">
      <c r="A46" t="s">
        <v>346</v>
      </c>
      <c r="F46" s="72"/>
      <c r="G46" s="1" t="str">
        <f>VLOOKUP(D42+1,$F$29:$AG$40,2)</f>
        <v>Ararat</v>
      </c>
      <c r="H46" s="79">
        <f>VLOOKUP($D$42+1,$F$29:$AG$40,2+MATCH("empty",$H$28:$AG$28,0)-H$44)</f>
        <v>241</v>
      </c>
      <c r="I46" s="79">
        <f t="shared" ref="I46:S46" si="2">VLOOKUP($D$42+1,$F$29:$AG$40,2+MATCH("empty",$H$28:$AG$28,0)-I$44)</f>
        <v>771</v>
      </c>
      <c r="J46" s="79">
        <f t="shared" si="2"/>
        <v>953</v>
      </c>
      <c r="K46" s="79">
        <f t="shared" si="2"/>
        <v>424</v>
      </c>
      <c r="L46" s="79">
        <f t="shared" si="2"/>
        <v>503</v>
      </c>
      <c r="M46" s="79">
        <f t="shared" si="2"/>
        <v>666</v>
      </c>
      <c r="N46" s="79">
        <f t="shared" si="2"/>
        <v>478</v>
      </c>
      <c r="O46" s="79">
        <f t="shared" si="2"/>
        <v>222</v>
      </c>
      <c r="P46" s="79">
        <f t="shared" si="2"/>
        <v>502</v>
      </c>
      <c r="Q46" s="79">
        <f t="shared" si="2"/>
        <v>865</v>
      </c>
      <c r="R46" s="79">
        <f t="shared" si="2"/>
        <v>796</v>
      </c>
      <c r="S46" s="79">
        <f t="shared" si="2"/>
        <v>682</v>
      </c>
    </row>
    <row r="47" spans="1:33">
      <c r="A47" t="s">
        <v>347</v>
      </c>
      <c r="F47" s="72"/>
      <c r="G47" s="82"/>
      <c r="H47" s="83"/>
      <c r="I47" s="83"/>
      <c r="J47" s="83"/>
      <c r="K47" s="83"/>
      <c r="L47" s="83"/>
      <c r="M47" s="83"/>
      <c r="N47" s="83"/>
      <c r="O47" s="83"/>
      <c r="P47" s="83"/>
      <c r="Q47" s="83"/>
      <c r="R47" s="83"/>
      <c r="S47" s="83"/>
    </row>
    <row r="48" spans="1:33">
      <c r="A48" t="s">
        <v>348</v>
      </c>
      <c r="F48" s="72"/>
      <c r="G48" s="84"/>
      <c r="H48" s="84"/>
      <c r="I48" s="84"/>
      <c r="J48" s="84"/>
      <c r="K48" s="84"/>
      <c r="L48" s="84"/>
      <c r="M48" s="84"/>
      <c r="N48" s="84"/>
      <c r="O48" s="84"/>
      <c r="P48" s="84"/>
      <c r="Q48" s="84"/>
      <c r="R48" s="84"/>
      <c r="S48" s="84"/>
    </row>
    <row r="49" spans="1:6">
      <c r="A49" s="23" t="s">
        <v>350</v>
      </c>
      <c r="F49" s="72"/>
    </row>
    <row r="50" spans="1:6">
      <c r="F50" s="72"/>
    </row>
    <row r="51" spans="1:6">
      <c r="F51" s="72"/>
    </row>
    <row r="52" spans="1:6">
      <c r="F52" s="72"/>
    </row>
    <row r="53" spans="1:6">
      <c r="F53" s="72"/>
    </row>
    <row r="54" spans="1:6">
      <c r="F54" s="72"/>
    </row>
    <row r="55" spans="1:6">
      <c r="F55" s="72"/>
    </row>
    <row r="56" spans="1:6">
      <c r="F56" s="72"/>
    </row>
  </sheetData>
  <mergeCells count="4">
    <mergeCell ref="B3:L3"/>
    <mergeCell ref="B4:L4"/>
    <mergeCell ref="B5:L5"/>
    <mergeCell ref="N2:O2"/>
  </mergeCells>
  <hyperlinks>
    <hyperlink ref="N2:O2" location="Front!C1" display="Front!C1" xr:uid="{E2D26517-4D2E-420F-8410-78D649989965}"/>
  </hyperlinks>
  <pageMargins left="0.39370078740157483" right="0.39370078740157483" top="0.39370078740157483" bottom="0.39370078740157483" header="0.31496062992125984" footer="0.31496062992125984"/>
  <pageSetup paperSize="9" scale="7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3</xdr:col>
                    <xdr:colOff>14288</xdr:colOff>
                    <xdr:row>12</xdr:row>
                    <xdr:rowOff>0</xdr:rowOff>
                  </from>
                  <to>
                    <xdr:col>4</xdr:col>
                    <xdr:colOff>657225</xdr:colOff>
                    <xdr:row>13</xdr:row>
                    <xdr:rowOff>47625</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2</xdr:col>
                    <xdr:colOff>642938</xdr:colOff>
                    <xdr:row>14</xdr:row>
                    <xdr:rowOff>14288</xdr:rowOff>
                  </from>
                  <to>
                    <xdr:col>4</xdr:col>
                    <xdr:colOff>647700</xdr:colOff>
                    <xdr:row>15</xdr:row>
                    <xdr:rowOff>61913</xdr:rowOff>
                  </to>
                </anchor>
              </controlPr>
            </control>
          </mc:Choice>
        </mc:AlternateContent>
        <mc:AlternateContent xmlns:mc="http://schemas.openxmlformats.org/markup-compatibility/2006">
          <mc:Choice Requires="x14">
            <control shapeId="11267" r:id="rId6" name="Drop Down 3">
              <controlPr defaultSize="0" autoLine="0" autoPict="0">
                <anchor moveWithCells="1">
                  <from>
                    <xdr:col>14</xdr:col>
                    <xdr:colOff>0</xdr:colOff>
                    <xdr:row>13</xdr:row>
                    <xdr:rowOff>147638</xdr:rowOff>
                  </from>
                  <to>
                    <xdr:col>15</xdr:col>
                    <xdr:colOff>476250</xdr:colOff>
                    <xdr:row>15</xdr:row>
                    <xdr:rowOff>14288</xdr:rowOff>
                  </to>
                </anchor>
              </controlPr>
            </control>
          </mc:Choice>
        </mc:AlternateContent>
        <mc:AlternateContent xmlns:mc="http://schemas.openxmlformats.org/markup-compatibility/2006">
          <mc:Choice Requires="x14">
            <control shapeId="11268" r:id="rId7" name="Drop Down 4">
              <controlPr defaultSize="0" autoLine="0" autoPict="0">
                <anchor moveWithCells="1">
                  <from>
                    <xdr:col>1</xdr:col>
                    <xdr:colOff>9525</xdr:colOff>
                    <xdr:row>41</xdr:row>
                    <xdr:rowOff>9525</xdr:rowOff>
                  </from>
                  <to>
                    <xdr:col>2</xdr:col>
                    <xdr:colOff>595313</xdr:colOff>
                    <xdr:row>42</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564D9-DBDE-4E20-B9B6-F30FA4E63479}">
  <sheetPr>
    <pageSetUpPr fitToPage="1"/>
  </sheetPr>
  <dimension ref="B1:O65"/>
  <sheetViews>
    <sheetView workbookViewId="0">
      <selection activeCell="N2" sqref="N2:O2"/>
    </sheetView>
  </sheetViews>
  <sheetFormatPr defaultRowHeight="14.25"/>
  <cols>
    <col min="1" max="1" width="4.6640625" customWidth="1"/>
  </cols>
  <sheetData>
    <row r="1" spans="2:15" ht="18">
      <c r="B1" s="113" t="s">
        <v>488</v>
      </c>
      <c r="C1" s="114"/>
      <c r="D1" s="114"/>
      <c r="E1" s="114"/>
      <c r="F1" s="114"/>
      <c r="G1" s="114"/>
      <c r="H1" s="115"/>
      <c r="I1" s="114"/>
      <c r="J1" s="114"/>
      <c r="K1" s="114"/>
      <c r="L1" s="114"/>
      <c r="M1" s="114"/>
      <c r="N1" s="114"/>
      <c r="O1" s="114"/>
    </row>
    <row r="2" spans="2:15" ht="18">
      <c r="N2" s="175" t="s">
        <v>578</v>
      </c>
      <c r="O2" s="175"/>
    </row>
    <row r="3" spans="2:15">
      <c r="B3" t="s">
        <v>489</v>
      </c>
    </row>
    <row r="4" spans="2:15" ht="27.75" customHeight="1">
      <c r="B4" s="190" t="s">
        <v>490</v>
      </c>
      <c r="C4" s="190"/>
      <c r="D4" s="190"/>
      <c r="E4" s="190"/>
      <c r="F4" s="190"/>
      <c r="G4" s="190"/>
      <c r="H4" s="190"/>
      <c r="I4" s="190"/>
      <c r="J4" s="190"/>
      <c r="K4" s="190"/>
      <c r="L4" s="190"/>
      <c r="M4" s="190"/>
      <c r="N4" s="190"/>
      <c r="O4" s="190"/>
    </row>
    <row r="5" spans="2:15" ht="27.75" customHeight="1">
      <c r="B5" s="141"/>
      <c r="C5" s="141"/>
      <c r="D5" s="141"/>
      <c r="E5" s="141"/>
      <c r="F5" s="141"/>
      <c r="G5" s="141"/>
      <c r="H5" s="141"/>
      <c r="I5" s="141"/>
      <c r="J5" s="141"/>
      <c r="K5" s="141"/>
      <c r="L5" s="141"/>
      <c r="M5" s="141"/>
      <c r="N5" s="141"/>
      <c r="O5" s="141"/>
    </row>
    <row r="6" spans="2:15">
      <c r="B6" t="s">
        <v>494</v>
      </c>
    </row>
    <row r="8" spans="2:15">
      <c r="B8" t="s">
        <v>492</v>
      </c>
    </row>
    <row r="10" spans="2:15">
      <c r="B10" t="s">
        <v>493</v>
      </c>
    </row>
    <row r="20" spans="2:5">
      <c r="B20" t="s">
        <v>495</v>
      </c>
    </row>
    <row r="21" spans="2:5">
      <c r="B21" t="s">
        <v>497</v>
      </c>
    </row>
    <row r="24" spans="2:5">
      <c r="B24" t="s">
        <v>496</v>
      </c>
    </row>
    <row r="25" spans="2:5">
      <c r="B25" s="142"/>
      <c r="E25" t="s">
        <v>36</v>
      </c>
    </row>
    <row r="26" spans="2:5">
      <c r="E26" t="s">
        <v>491</v>
      </c>
    </row>
    <row r="27" spans="2:5">
      <c r="E27" t="s">
        <v>246</v>
      </c>
    </row>
    <row r="28" spans="2:5">
      <c r="E28" t="s">
        <v>245</v>
      </c>
    </row>
    <row r="29" spans="2:5">
      <c r="E29" t="s">
        <v>38</v>
      </c>
    </row>
    <row r="30" spans="2:5">
      <c r="E30" t="s">
        <v>110</v>
      </c>
    </row>
    <row r="32" spans="2:5">
      <c r="B32" t="s">
        <v>505</v>
      </c>
    </row>
    <row r="33" spans="2:9">
      <c r="B33" s="142"/>
    </row>
    <row r="36" spans="2:9">
      <c r="B36" t="s">
        <v>501</v>
      </c>
    </row>
    <row r="37" spans="2:9">
      <c r="B37" t="s">
        <v>502</v>
      </c>
    </row>
    <row r="38" spans="2:9">
      <c r="B38" t="s">
        <v>503</v>
      </c>
    </row>
    <row r="39" spans="2:9">
      <c r="B39" s="190" t="s">
        <v>509</v>
      </c>
      <c r="C39" s="190"/>
      <c r="D39" s="190"/>
      <c r="E39" s="190"/>
      <c r="F39" s="190"/>
      <c r="G39" s="190"/>
      <c r="H39" s="190"/>
      <c r="I39" s="190"/>
    </row>
    <row r="40" spans="2:9">
      <c r="B40" t="s">
        <v>504</v>
      </c>
    </row>
    <row r="47" spans="2:9">
      <c r="B47" s="12" t="s">
        <v>507</v>
      </c>
    </row>
    <row r="48" spans="2:9">
      <c r="B48" t="s">
        <v>508</v>
      </c>
    </row>
    <row r="49" spans="2:8">
      <c r="D49" s="15" t="str" cm="1">
        <f t="array" aca="1" ref="D49:D53" ca="1">OFFSET(C49,1,3,COUNTA($F:$F))</f>
        <v>Australia</v>
      </c>
    </row>
    <row r="50" spans="2:8">
      <c r="D50" s="15" t="str">
        <f ca="1"/>
        <v>China</v>
      </c>
      <c r="E50" t="s">
        <v>506</v>
      </c>
      <c r="F50" s="142" t="s">
        <v>36</v>
      </c>
    </row>
    <row r="51" spans="2:8">
      <c r="D51" s="15" t="str">
        <f ca="1"/>
        <v>Greece</v>
      </c>
      <c r="F51" s="142" t="s">
        <v>246</v>
      </c>
    </row>
    <row r="52" spans="2:8">
      <c r="D52" s="15" t="str">
        <f ca="1"/>
        <v>Italy</v>
      </c>
      <c r="F52" s="142" t="s">
        <v>245</v>
      </c>
    </row>
    <row r="53" spans="2:8">
      <c r="D53" s="15" t="str">
        <f ca="1"/>
        <v>Vietnam</v>
      </c>
      <c r="F53" s="142" t="s">
        <v>38</v>
      </c>
    </row>
    <row r="54" spans="2:8">
      <c r="F54" s="142" t="s">
        <v>110</v>
      </c>
    </row>
    <row r="55" spans="2:8" ht="30.75" customHeight="1">
      <c r="B55" s="190" t="s">
        <v>510</v>
      </c>
      <c r="C55" s="190"/>
      <c r="D55" s="190"/>
      <c r="E55" s="190"/>
      <c r="F55" s="190"/>
      <c r="G55" s="190"/>
      <c r="H55" s="190"/>
    </row>
    <row r="62" spans="2:8">
      <c r="B62" t="s">
        <v>499</v>
      </c>
    </row>
    <row r="63" spans="2:8">
      <c r="B63" t="s">
        <v>498</v>
      </c>
    </row>
    <row r="65" spans="2:2">
      <c r="B65" t="s">
        <v>500</v>
      </c>
    </row>
  </sheetData>
  <mergeCells count="4">
    <mergeCell ref="B4:O4"/>
    <mergeCell ref="B39:I39"/>
    <mergeCell ref="B55:H55"/>
    <mergeCell ref="N2:O2"/>
  </mergeCells>
  <dataValidations count="3">
    <dataValidation type="list" allowBlank="1" showInputMessage="1" showErrorMessage="1" sqref="B25" xr:uid="{A993CD28-28F9-46AB-812C-6F6F500B759C}">
      <formula1>$E$25:$E$30</formula1>
    </dataValidation>
    <dataValidation type="list" allowBlank="1" showInputMessage="1" showErrorMessage="1" sqref="B33" xr:uid="{4AB78889-CDB5-4BCF-A271-50593F9B9A4B}">
      <formula1>"Australia,Cambodia,China,Greece,Italy,Vietnam"</formula1>
    </dataValidation>
    <dataValidation type="list" allowBlank="1" showInputMessage="1" showErrorMessage="1" sqref="M32" xr:uid="{E406A0F5-00B3-493D-9C87-9CED6902A193}">
      <formula1>Validation</formula1>
    </dataValidation>
  </dataValidations>
  <hyperlinks>
    <hyperlink ref="N2:O2" location="Front!C1" display="Front!C1" xr:uid="{FCBB2ACC-B541-4CDA-8CB7-7399BC23F26D}"/>
  </hyperlinks>
  <pageMargins left="0.39370078740157483" right="0.39370078740157483" top="0.39370078740157483" bottom="0.39370078740157483" header="0.31496062992125984" footer="0.31496062992125984"/>
  <pageSetup paperSize="9" scale="7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48C3E-156A-4490-A822-7BCC5751340B}">
  <sheetPr>
    <pageSetUpPr fitToPage="1"/>
  </sheetPr>
  <dimension ref="B1:O52"/>
  <sheetViews>
    <sheetView topLeftCell="A14" workbookViewId="0">
      <selection activeCell="N2" sqref="N2:O2"/>
    </sheetView>
  </sheetViews>
  <sheetFormatPr defaultRowHeight="14.25"/>
  <cols>
    <col min="1" max="1" width="5" customWidth="1"/>
  </cols>
  <sheetData>
    <row r="1" spans="2:15" ht="18">
      <c r="B1" s="113" t="s">
        <v>440</v>
      </c>
      <c r="C1" s="114"/>
      <c r="D1" s="114"/>
      <c r="E1" s="114"/>
      <c r="F1" s="114"/>
      <c r="G1" s="114"/>
      <c r="H1" s="115"/>
      <c r="I1" s="114"/>
      <c r="J1" s="114"/>
      <c r="K1" s="114"/>
      <c r="L1" s="114"/>
      <c r="M1" s="114"/>
      <c r="N1" s="114"/>
      <c r="O1" s="114"/>
    </row>
    <row r="2" spans="2:15" ht="18">
      <c r="I2" s="23"/>
      <c r="M2" s="23"/>
      <c r="N2" s="175" t="s">
        <v>578</v>
      </c>
      <c r="O2" s="175"/>
    </row>
    <row r="3" spans="2:15">
      <c r="B3" s="17" t="s">
        <v>437</v>
      </c>
      <c r="I3" s="23"/>
      <c r="M3" s="23"/>
    </row>
    <row r="4" spans="2:15">
      <c r="M4" s="23"/>
    </row>
    <row r="5" spans="2:15">
      <c r="M5" s="23"/>
    </row>
    <row r="6" spans="2:15">
      <c r="B6" t="s">
        <v>478</v>
      </c>
    </row>
    <row r="7" spans="2:15">
      <c r="B7" t="s">
        <v>477</v>
      </c>
    </row>
    <row r="8" spans="2:15">
      <c r="B8" t="s">
        <v>438</v>
      </c>
    </row>
    <row r="15" spans="2:15">
      <c r="B15" t="s">
        <v>441</v>
      </c>
    </row>
    <row r="20" spans="2:2">
      <c r="B20" t="s">
        <v>439</v>
      </c>
    </row>
    <row r="37" spans="2:11">
      <c r="B37" t="s">
        <v>476</v>
      </c>
      <c r="K37" t="s">
        <v>479</v>
      </c>
    </row>
    <row r="38" spans="2:11">
      <c r="B38" t="s">
        <v>463</v>
      </c>
    </row>
    <row r="39" spans="2:11">
      <c r="B39" t="s">
        <v>480</v>
      </c>
    </row>
    <row r="44" spans="2:11">
      <c r="B44" t="s">
        <v>475</v>
      </c>
    </row>
    <row r="45" spans="2:11">
      <c r="B45" s="1" t="s">
        <v>464</v>
      </c>
      <c r="C45" s="1" t="s">
        <v>470</v>
      </c>
    </row>
    <row r="46" spans="2:11">
      <c r="B46" s="1" t="s">
        <v>465</v>
      </c>
      <c r="C46" s="1" t="s">
        <v>471</v>
      </c>
    </row>
    <row r="47" spans="2:11">
      <c r="B47" s="1" t="s">
        <v>466</v>
      </c>
      <c r="C47" s="1" t="s">
        <v>472</v>
      </c>
    </row>
    <row r="48" spans="2:11">
      <c r="B48" s="1" t="s">
        <v>467</v>
      </c>
      <c r="C48" s="1" t="s">
        <v>473</v>
      </c>
    </row>
    <row r="49" spans="2:3">
      <c r="B49" s="1" t="s">
        <v>468</v>
      </c>
      <c r="C49" s="1" t="s">
        <v>472</v>
      </c>
    </row>
    <row r="50" spans="2:3">
      <c r="B50" s="1" t="s">
        <v>469</v>
      </c>
      <c r="C50" s="1" t="s">
        <v>474</v>
      </c>
    </row>
    <row r="52" spans="2:3">
      <c r="B52" t="s">
        <v>442</v>
      </c>
    </row>
  </sheetData>
  <mergeCells count="1">
    <mergeCell ref="N2:O2"/>
  </mergeCells>
  <hyperlinks>
    <hyperlink ref="N2:O2" location="Front!C1" display="Front!C1" xr:uid="{E3B9E1C7-10DC-4790-BE33-48F77BE7954B}"/>
  </hyperlinks>
  <pageMargins left="0.39370078740157483" right="0.39370078740157483" top="0.39370078740157483" bottom="0.39370078740157483" header="0.31496062992125984" footer="0.31496062992125984"/>
  <pageSetup paperSize="9" scale="69" orientation="landscape"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562A7-7F48-49B5-9BE9-363E33BB9FC7}">
  <sheetPr>
    <pageSetUpPr fitToPage="1"/>
  </sheetPr>
  <dimension ref="B1:Q67"/>
  <sheetViews>
    <sheetView workbookViewId="0">
      <selection activeCell="N2" sqref="N2:O2"/>
    </sheetView>
  </sheetViews>
  <sheetFormatPr defaultRowHeight="14.25"/>
  <cols>
    <col min="1" max="1" width="3.3984375" customWidth="1"/>
    <col min="2" max="2" width="10.59765625" customWidth="1"/>
  </cols>
  <sheetData>
    <row r="1" spans="2:17" ht="18">
      <c r="B1" s="113" t="s">
        <v>73</v>
      </c>
      <c r="C1" s="114"/>
      <c r="D1" s="114"/>
      <c r="E1" s="114"/>
      <c r="F1" s="114"/>
      <c r="G1" s="114"/>
      <c r="H1" s="115"/>
      <c r="I1" s="114"/>
      <c r="J1" s="114"/>
      <c r="K1" s="114"/>
      <c r="L1" s="114"/>
      <c r="M1" s="114"/>
      <c r="N1" s="114"/>
      <c r="O1" s="114"/>
    </row>
    <row r="2" spans="2:17" ht="18">
      <c r="N2" s="175" t="s">
        <v>578</v>
      </c>
      <c r="O2" s="175"/>
    </row>
    <row r="3" spans="2:17" ht="30.4" customHeight="1">
      <c r="B3" s="191" t="s">
        <v>34</v>
      </c>
      <c r="C3" s="191"/>
      <c r="D3" s="191"/>
      <c r="E3" s="191"/>
      <c r="F3" s="191"/>
      <c r="G3" s="191"/>
      <c r="H3" s="191"/>
      <c r="I3" s="191"/>
      <c r="J3" s="191"/>
      <c r="K3" s="191"/>
      <c r="L3" s="191"/>
      <c r="M3" s="191"/>
      <c r="N3" s="191"/>
      <c r="O3" s="191"/>
    </row>
    <row r="4" spans="2:17" ht="30.4" customHeight="1">
      <c r="B4" s="191" t="s">
        <v>118</v>
      </c>
      <c r="C4" s="191"/>
      <c r="D4" s="191"/>
      <c r="E4" s="191"/>
      <c r="F4" s="191"/>
      <c r="G4" s="191"/>
      <c r="H4" s="191"/>
      <c r="I4" s="191"/>
      <c r="J4" s="191"/>
      <c r="K4" s="191"/>
      <c r="L4" s="191"/>
      <c r="M4" s="191"/>
      <c r="N4" s="191"/>
      <c r="O4" s="191"/>
    </row>
    <row r="5" spans="2:17">
      <c r="B5" s="7" t="s">
        <v>94</v>
      </c>
      <c r="C5" s="17"/>
      <c r="D5" s="17"/>
      <c r="E5" s="17"/>
      <c r="F5" s="17"/>
      <c r="G5" s="17"/>
      <c r="H5" s="17"/>
      <c r="I5" s="17"/>
      <c r="J5" s="17"/>
      <c r="K5" s="17"/>
      <c r="L5" s="17"/>
      <c r="M5" s="17"/>
      <c r="N5" s="17"/>
      <c r="O5" s="17"/>
    </row>
    <row r="8" spans="2:17">
      <c r="B8" s="8" t="s">
        <v>41</v>
      </c>
      <c r="C8" s="8" t="s">
        <v>42</v>
      </c>
      <c r="D8" s="8" t="s">
        <v>43</v>
      </c>
      <c r="E8" s="8" t="s">
        <v>44</v>
      </c>
      <c r="G8" s="28" t="s">
        <v>45</v>
      </c>
      <c r="I8" t="s">
        <v>53</v>
      </c>
    </row>
    <row r="9" spans="2:17">
      <c r="B9" s="10" t="s">
        <v>35</v>
      </c>
      <c r="C9" s="10" t="s">
        <v>36</v>
      </c>
      <c r="D9" s="11">
        <v>0</v>
      </c>
      <c r="E9" s="11">
        <v>1435</v>
      </c>
      <c r="G9" t="s">
        <v>91</v>
      </c>
    </row>
    <row r="10" spans="2:17">
      <c r="B10" s="10" t="s">
        <v>35</v>
      </c>
      <c r="C10" s="10" t="s">
        <v>36</v>
      </c>
      <c r="D10" s="11">
        <v>1</v>
      </c>
      <c r="E10" s="11">
        <v>1429</v>
      </c>
      <c r="G10" s="14" t="s">
        <v>41</v>
      </c>
      <c r="H10" s="14" t="s">
        <v>42</v>
      </c>
      <c r="I10" s="14" t="s">
        <v>43</v>
      </c>
      <c r="J10" s="14" t="s">
        <v>43</v>
      </c>
    </row>
    <row r="11" spans="2:17">
      <c r="B11" s="10" t="s">
        <v>35</v>
      </c>
      <c r="C11" s="10" t="s">
        <v>36</v>
      </c>
      <c r="D11" s="11">
        <v>2</v>
      </c>
      <c r="E11" s="11">
        <v>1488</v>
      </c>
      <c r="F11" s="193" t="s">
        <v>92</v>
      </c>
      <c r="G11" s="15" t="s">
        <v>35</v>
      </c>
      <c r="H11" s="15" t="s">
        <v>36</v>
      </c>
      <c r="I11" s="15" t="s">
        <v>46</v>
      </c>
      <c r="J11" s="15" t="s">
        <v>47</v>
      </c>
    </row>
    <row r="12" spans="2:17">
      <c r="B12" s="10" t="s">
        <v>35</v>
      </c>
      <c r="C12" s="10" t="s">
        <v>36</v>
      </c>
      <c r="D12" s="11">
        <v>3</v>
      </c>
      <c r="E12" s="11">
        <v>1438</v>
      </c>
      <c r="F12" s="193"/>
      <c r="G12" s="15" t="s">
        <v>37</v>
      </c>
      <c r="H12" s="15" t="s">
        <v>38</v>
      </c>
      <c r="I12" s="15" t="s">
        <v>48</v>
      </c>
      <c r="J12" s="15" t="s">
        <v>49</v>
      </c>
    </row>
    <row r="13" spans="2:17">
      <c r="B13" s="10" t="s">
        <v>35</v>
      </c>
      <c r="C13" s="10" t="s">
        <v>36</v>
      </c>
      <c r="D13" s="11">
        <v>4</v>
      </c>
      <c r="E13" s="11">
        <v>1392</v>
      </c>
    </row>
    <row r="14" spans="2:17" ht="14.25" customHeight="1">
      <c r="B14" s="10" t="s">
        <v>35</v>
      </c>
      <c r="C14" s="10" t="s">
        <v>36</v>
      </c>
      <c r="D14" s="11">
        <v>5</v>
      </c>
      <c r="E14" s="11">
        <v>1368</v>
      </c>
      <c r="G14" s="192" t="s">
        <v>582</v>
      </c>
      <c r="H14" s="192"/>
      <c r="I14" s="192"/>
      <c r="J14" s="192"/>
      <c r="K14" s="192"/>
      <c r="L14" s="192"/>
      <c r="M14" s="192"/>
      <c r="N14" s="192"/>
      <c r="O14" s="192"/>
      <c r="P14" s="192"/>
      <c r="Q14" s="192"/>
    </row>
    <row r="15" spans="2:17">
      <c r="B15" s="10" t="s">
        <v>35</v>
      </c>
      <c r="C15" s="10" t="s">
        <v>36</v>
      </c>
      <c r="D15" s="11">
        <v>6</v>
      </c>
      <c r="E15" s="11">
        <v>1418</v>
      </c>
      <c r="G15" s="25" t="s">
        <v>90</v>
      </c>
      <c r="I15" s="24"/>
      <c r="J15" s="24"/>
      <c r="K15" s="24"/>
      <c r="L15" s="24"/>
      <c r="M15" s="24"/>
      <c r="N15" s="24"/>
      <c r="O15" s="24"/>
    </row>
    <row r="16" spans="2:17">
      <c r="B16" s="10" t="s">
        <v>35</v>
      </c>
      <c r="C16" s="10" t="s">
        <v>36</v>
      </c>
      <c r="D16" s="11">
        <v>7</v>
      </c>
      <c r="E16" s="11">
        <v>1318</v>
      </c>
      <c r="G16" s="26" t="s">
        <v>89</v>
      </c>
      <c r="I16" s="23"/>
      <c r="J16" s="23"/>
      <c r="K16" s="23"/>
      <c r="L16" s="23"/>
      <c r="M16" s="23"/>
      <c r="N16" s="23"/>
      <c r="O16" s="23"/>
    </row>
    <row r="17" spans="2:16">
      <c r="B17" s="10" t="s">
        <v>35</v>
      </c>
      <c r="C17" s="10" t="s">
        <v>36</v>
      </c>
      <c r="D17" s="11">
        <v>8</v>
      </c>
      <c r="E17" s="11">
        <v>1289</v>
      </c>
    </row>
    <row r="18" spans="2:16">
      <c r="B18" s="10" t="s">
        <v>35</v>
      </c>
      <c r="C18" s="10" t="s">
        <v>36</v>
      </c>
      <c r="D18" s="11">
        <v>9</v>
      </c>
      <c r="E18" s="11">
        <v>1363</v>
      </c>
      <c r="G18" t="s">
        <v>50</v>
      </c>
    </row>
    <row r="19" spans="2:16">
      <c r="B19" s="10" t="s">
        <v>35</v>
      </c>
      <c r="C19" s="10" t="s">
        <v>36</v>
      </c>
      <c r="D19" s="11">
        <v>10</v>
      </c>
      <c r="E19" s="11">
        <v>1257</v>
      </c>
      <c r="G19" s="13" t="s">
        <v>93</v>
      </c>
    </row>
    <row r="20" spans="2:16">
      <c r="B20" s="10" t="s">
        <v>35</v>
      </c>
      <c r="C20" s="10" t="s">
        <v>36</v>
      </c>
      <c r="D20" s="11">
        <v>11</v>
      </c>
      <c r="E20" s="11">
        <v>1194</v>
      </c>
      <c r="G20" s="13" t="s">
        <v>51</v>
      </c>
    </row>
    <row r="21" spans="2:16">
      <c r="B21" s="10" t="s">
        <v>35</v>
      </c>
      <c r="C21" s="10" t="s">
        <v>36</v>
      </c>
      <c r="D21" s="11">
        <v>12</v>
      </c>
      <c r="E21" s="11">
        <v>1128</v>
      </c>
      <c r="G21" t="s">
        <v>52</v>
      </c>
      <c r="I21">
        <f>DSUM(B8:E41,"Population",G10:J12)</f>
        <v>6923</v>
      </c>
    </row>
    <row r="22" spans="2:16">
      <c r="B22" s="10" t="s">
        <v>37</v>
      </c>
      <c r="C22" s="10" t="s">
        <v>38</v>
      </c>
      <c r="D22" s="11">
        <v>58</v>
      </c>
      <c r="E22" s="11">
        <v>13</v>
      </c>
    </row>
    <row r="23" spans="2:16">
      <c r="B23" s="10" t="s">
        <v>37</v>
      </c>
      <c r="C23" s="10" t="s">
        <v>38</v>
      </c>
      <c r="D23" s="11">
        <v>59</v>
      </c>
      <c r="E23" s="11">
        <v>15</v>
      </c>
    </row>
    <row r="24" spans="2:16">
      <c r="B24" s="10" t="s">
        <v>37</v>
      </c>
      <c r="C24" s="10" t="s">
        <v>38</v>
      </c>
      <c r="D24" s="11">
        <v>60</v>
      </c>
      <c r="E24" s="11">
        <v>10</v>
      </c>
      <c r="G24" s="12" t="s">
        <v>54</v>
      </c>
    </row>
    <row r="25" spans="2:16">
      <c r="B25" s="10" t="s">
        <v>37</v>
      </c>
      <c r="C25" s="10" t="s">
        <v>38</v>
      </c>
      <c r="D25" s="11">
        <v>61</v>
      </c>
      <c r="E25" s="11">
        <v>31</v>
      </c>
    </row>
    <row r="26" spans="2:16">
      <c r="B26" s="10" t="s">
        <v>37</v>
      </c>
      <c r="C26" s="10" t="s">
        <v>38</v>
      </c>
      <c r="D26" s="11">
        <v>62</v>
      </c>
      <c r="E26" s="11">
        <v>25</v>
      </c>
      <c r="G26" t="s">
        <v>69</v>
      </c>
      <c r="N26" s="10">
        <v>1</v>
      </c>
      <c r="O26" t="s">
        <v>55</v>
      </c>
      <c r="P26" t="s">
        <v>62</v>
      </c>
    </row>
    <row r="27" spans="2:16">
      <c r="B27" s="10" t="s">
        <v>37</v>
      </c>
      <c r="C27" s="10" t="s">
        <v>38</v>
      </c>
      <c r="D27" s="11">
        <v>63</v>
      </c>
      <c r="E27" s="11">
        <v>16</v>
      </c>
      <c r="I27" s="11" t="s">
        <v>99</v>
      </c>
      <c r="J27" s="11"/>
      <c r="K27" s="11" t="s">
        <v>100</v>
      </c>
      <c r="N27" s="10">
        <v>2</v>
      </c>
      <c r="O27" t="s">
        <v>56</v>
      </c>
      <c r="P27" t="s">
        <v>68</v>
      </c>
    </row>
    <row r="28" spans="2:16">
      <c r="B28" s="10" t="s">
        <v>37</v>
      </c>
      <c r="C28" s="10" t="s">
        <v>38</v>
      </c>
      <c r="D28" s="11">
        <v>64</v>
      </c>
      <c r="E28" s="11">
        <v>25</v>
      </c>
      <c r="I28" s="8">
        <v>2</v>
      </c>
      <c r="J28" s="8"/>
      <c r="K28" s="8" t="str">
        <f>VLOOKUP(I28,N26:P32,2)</f>
        <v>&gt;=1</v>
      </c>
      <c r="N28" s="10">
        <v>3</v>
      </c>
      <c r="O28" t="s">
        <v>57</v>
      </c>
      <c r="P28" t="s">
        <v>63</v>
      </c>
    </row>
    <row r="29" spans="2:16">
      <c r="B29" s="10" t="s">
        <v>37</v>
      </c>
      <c r="C29" s="10" t="s">
        <v>38</v>
      </c>
      <c r="D29" s="11">
        <v>65</v>
      </c>
      <c r="E29" s="11">
        <v>42</v>
      </c>
      <c r="I29" s="8"/>
      <c r="J29" s="8"/>
      <c r="K29" s="8"/>
      <c r="N29" s="10">
        <v>4</v>
      </c>
      <c r="O29" t="s">
        <v>58</v>
      </c>
      <c r="P29" t="s">
        <v>64</v>
      </c>
    </row>
    <row r="30" spans="2:16">
      <c r="B30" s="10" t="s">
        <v>37</v>
      </c>
      <c r="C30" s="10" t="s">
        <v>38</v>
      </c>
      <c r="D30" s="11">
        <v>66</v>
      </c>
      <c r="E30" s="11">
        <v>59</v>
      </c>
      <c r="I30" s="8">
        <v>3</v>
      </c>
      <c r="J30" s="8"/>
      <c r="K30" s="8" t="str">
        <f>VLOOKUP(I30,N26:P32,3)</f>
        <v>&lt;=10</v>
      </c>
      <c r="N30" s="10">
        <v>5</v>
      </c>
      <c r="O30" t="s">
        <v>59</v>
      </c>
      <c r="P30" t="s">
        <v>65</v>
      </c>
    </row>
    <row r="31" spans="2:16">
      <c r="B31" s="10" t="s">
        <v>37</v>
      </c>
      <c r="C31" s="10" t="s">
        <v>38</v>
      </c>
      <c r="D31" s="11">
        <v>67</v>
      </c>
      <c r="E31" s="11">
        <v>41</v>
      </c>
      <c r="I31" s="8"/>
      <c r="J31" s="8"/>
      <c r="K31" s="8"/>
      <c r="N31" s="10">
        <v>6</v>
      </c>
      <c r="O31" t="s">
        <v>60</v>
      </c>
      <c r="P31" t="s">
        <v>66</v>
      </c>
    </row>
    <row r="32" spans="2:16">
      <c r="B32" s="10" t="s">
        <v>39</v>
      </c>
      <c r="C32" s="10" t="s">
        <v>40</v>
      </c>
      <c r="D32" s="11">
        <v>6</v>
      </c>
      <c r="E32" s="11">
        <v>23</v>
      </c>
      <c r="G32" s="28" t="s">
        <v>83</v>
      </c>
      <c r="I32" s="8"/>
      <c r="J32" s="8"/>
      <c r="K32" s="8"/>
      <c r="N32" s="10">
        <v>7</v>
      </c>
      <c r="O32" t="s">
        <v>61</v>
      </c>
      <c r="P32" t="s">
        <v>67</v>
      </c>
    </row>
    <row r="33" spans="2:17">
      <c r="B33" s="10" t="s">
        <v>39</v>
      </c>
      <c r="C33" s="10" t="s">
        <v>40</v>
      </c>
      <c r="D33" s="11">
        <v>7</v>
      </c>
      <c r="E33" s="11">
        <v>16</v>
      </c>
      <c r="G33" s="16" t="s">
        <v>43</v>
      </c>
      <c r="H33" s="16" t="s">
        <v>43</v>
      </c>
      <c r="I33" s="8"/>
      <c r="J33" s="8"/>
      <c r="K33" s="8"/>
      <c r="N33" s="10"/>
    </row>
    <row r="34" spans="2:17">
      <c r="B34" s="10" t="s">
        <v>39</v>
      </c>
      <c r="C34" s="10" t="s">
        <v>40</v>
      </c>
      <c r="D34" s="11">
        <v>8</v>
      </c>
      <c r="E34" s="11">
        <v>23</v>
      </c>
      <c r="G34" s="15" t="str">
        <f>K28</f>
        <v>&gt;=1</v>
      </c>
      <c r="H34" s="15" t="str">
        <f>K30</f>
        <v>&lt;=10</v>
      </c>
      <c r="I34" s="8"/>
      <c r="J34" s="8"/>
      <c r="K34" s="8"/>
      <c r="N34" s="10"/>
    </row>
    <row r="35" spans="2:17">
      <c r="B35" s="10" t="s">
        <v>39</v>
      </c>
      <c r="C35" s="10" t="s">
        <v>40</v>
      </c>
      <c r="D35" s="11">
        <v>9</v>
      </c>
      <c r="E35" s="11">
        <v>13</v>
      </c>
      <c r="I35" s="8"/>
      <c r="J35" s="8"/>
      <c r="K35" s="8"/>
      <c r="N35" s="10"/>
    </row>
    <row r="36" spans="2:17">
      <c r="B36" s="10" t="s">
        <v>39</v>
      </c>
      <c r="C36" s="10" t="s">
        <v>40</v>
      </c>
      <c r="D36" s="11">
        <v>10</v>
      </c>
      <c r="E36" s="11">
        <v>41</v>
      </c>
      <c r="G36" t="s">
        <v>70</v>
      </c>
      <c r="I36" s="8"/>
      <c r="J36" s="8"/>
      <c r="K36" s="8"/>
    </row>
    <row r="37" spans="2:17">
      <c r="B37" s="10" t="s">
        <v>39</v>
      </c>
      <c r="C37" s="10" t="s">
        <v>40</v>
      </c>
      <c r="D37" s="11">
        <v>11</v>
      </c>
      <c r="E37" s="11">
        <v>27</v>
      </c>
      <c r="G37" s="13" t="s">
        <v>72</v>
      </c>
      <c r="I37" s="8"/>
      <c r="J37" s="8"/>
      <c r="K37" s="8"/>
    </row>
    <row r="38" spans="2:17">
      <c r="B38" s="10" t="s">
        <v>39</v>
      </c>
      <c r="C38" s="10" t="s">
        <v>40</v>
      </c>
      <c r="D38" s="11">
        <v>12</v>
      </c>
      <c r="E38" s="11">
        <v>33</v>
      </c>
      <c r="G38" t="s">
        <v>52</v>
      </c>
      <c r="I38" s="8">
        <f>DSUM(B8:E41,"Population",G33:H34)</f>
        <v>13876</v>
      </c>
      <c r="J38" s="8"/>
      <c r="K38" s="8"/>
    </row>
    <row r="39" spans="2:17">
      <c r="B39" s="10" t="s">
        <v>39</v>
      </c>
      <c r="C39" s="10" t="s">
        <v>40</v>
      </c>
      <c r="D39" s="11">
        <v>13</v>
      </c>
      <c r="E39" s="11">
        <v>32</v>
      </c>
      <c r="G39" t="s">
        <v>71</v>
      </c>
      <c r="I39" s="8"/>
      <c r="J39" s="8"/>
      <c r="K39" s="8"/>
    </row>
    <row r="40" spans="2:17">
      <c r="B40" s="10" t="s">
        <v>39</v>
      </c>
      <c r="C40" s="10" t="s">
        <v>40</v>
      </c>
      <c r="D40" s="11">
        <v>14</v>
      </c>
      <c r="E40" s="11">
        <v>37</v>
      </c>
      <c r="I40" s="8"/>
      <c r="J40" s="8"/>
      <c r="K40" s="8"/>
    </row>
    <row r="41" spans="2:17">
      <c r="B41" s="10" t="s">
        <v>39</v>
      </c>
      <c r="C41" s="10" t="s">
        <v>40</v>
      </c>
      <c r="D41" s="11">
        <v>15</v>
      </c>
      <c r="E41" s="11">
        <v>32</v>
      </c>
      <c r="G41" t="s">
        <v>98</v>
      </c>
      <c r="I41" s="11" t="s">
        <v>99</v>
      </c>
      <c r="J41" s="11"/>
      <c r="K41" s="11" t="s">
        <v>100</v>
      </c>
      <c r="O41" s="10">
        <v>1</v>
      </c>
      <c r="P41">
        <v>0</v>
      </c>
      <c r="Q41">
        <v>12</v>
      </c>
    </row>
    <row r="42" spans="2:17">
      <c r="I42" s="8">
        <v>2</v>
      </c>
      <c r="J42" s="8"/>
      <c r="K42" s="8">
        <f>VLOOKUP(I42,O41:Q47,2)</f>
        <v>1</v>
      </c>
      <c r="L42" s="28" t="s">
        <v>83</v>
      </c>
      <c r="O42" s="10">
        <v>2</v>
      </c>
      <c r="P42">
        <v>1</v>
      </c>
      <c r="Q42">
        <v>11</v>
      </c>
    </row>
    <row r="43" spans="2:17">
      <c r="I43" s="8"/>
      <c r="J43" s="8"/>
      <c r="K43" s="8"/>
      <c r="L43" s="16" t="s">
        <v>43</v>
      </c>
      <c r="M43" s="16" t="s">
        <v>43</v>
      </c>
      <c r="O43" s="10">
        <v>3</v>
      </c>
      <c r="P43">
        <v>2</v>
      </c>
      <c r="Q43">
        <v>10</v>
      </c>
    </row>
    <row r="44" spans="2:17">
      <c r="I44" s="8">
        <v>4</v>
      </c>
      <c r="J44" s="8"/>
      <c r="K44" s="8">
        <f>VLOOKUP(I44,O41:Q47,3)</f>
        <v>9</v>
      </c>
      <c r="L44" s="15" t="str">
        <f>L46&amp;K42</f>
        <v>&gt;=1</v>
      </c>
      <c r="M44" s="15" t="str">
        <f>M46&amp;K44</f>
        <v>&lt;=9</v>
      </c>
      <c r="O44" s="10">
        <v>4</v>
      </c>
      <c r="P44">
        <v>3</v>
      </c>
      <c r="Q44">
        <v>9</v>
      </c>
    </row>
    <row r="45" spans="2:17">
      <c r="O45" s="10">
        <v>5</v>
      </c>
      <c r="P45">
        <v>4</v>
      </c>
      <c r="Q45">
        <v>8</v>
      </c>
    </row>
    <row r="46" spans="2:17">
      <c r="L46" t="s">
        <v>96</v>
      </c>
      <c r="M46" t="s">
        <v>97</v>
      </c>
      <c r="O46" s="10">
        <v>6</v>
      </c>
      <c r="P46">
        <v>5</v>
      </c>
      <c r="Q46">
        <v>7</v>
      </c>
    </row>
    <row r="47" spans="2:17">
      <c r="O47" s="10">
        <v>7</v>
      </c>
      <c r="P47">
        <v>6</v>
      </c>
      <c r="Q47">
        <v>6</v>
      </c>
    </row>
    <row r="48" spans="2:17">
      <c r="G48" t="s">
        <v>583</v>
      </c>
    </row>
    <row r="49" spans="7:13" ht="15.75">
      <c r="G49" t="s">
        <v>101</v>
      </c>
    </row>
    <row r="50" spans="7:13">
      <c r="G50" t="s">
        <v>140</v>
      </c>
    </row>
    <row r="52" spans="7:13">
      <c r="G52" s="12" t="s">
        <v>95</v>
      </c>
    </row>
    <row r="53" spans="7:13">
      <c r="G53" s="28" t="s">
        <v>83</v>
      </c>
    </row>
    <row r="55" spans="7:13">
      <c r="G55" s="20" t="s">
        <v>41</v>
      </c>
      <c r="H55" s="20" t="s">
        <v>74</v>
      </c>
      <c r="I55" s="20" t="s">
        <v>43</v>
      </c>
      <c r="J55" s="20" t="s">
        <v>43</v>
      </c>
      <c r="K55" s="18"/>
      <c r="L55" s="18"/>
      <c r="M55" s="18"/>
    </row>
    <row r="56" spans="7:13">
      <c r="G56" s="21" t="s">
        <v>75</v>
      </c>
      <c r="H56" s="21" t="s">
        <v>76</v>
      </c>
      <c r="I56" s="22" t="s">
        <v>77</v>
      </c>
      <c r="J56" s="22" t="s">
        <v>78</v>
      </c>
      <c r="K56" s="18"/>
      <c r="L56" s="18"/>
      <c r="M56" s="18"/>
    </row>
    <row r="57" spans="7:13">
      <c r="G57" s="21" t="s">
        <v>79</v>
      </c>
      <c r="H57" s="21" t="s">
        <v>76</v>
      </c>
      <c r="I57" s="22" t="s">
        <v>77</v>
      </c>
      <c r="J57" s="22" t="s">
        <v>78</v>
      </c>
      <c r="K57" s="18"/>
      <c r="L57" s="18"/>
      <c r="M57" s="18"/>
    </row>
    <row r="58" spans="7:13">
      <c r="G58" s="21" t="s">
        <v>80</v>
      </c>
      <c r="H58" s="21" t="s">
        <v>76</v>
      </c>
      <c r="I58" s="22" t="s">
        <v>77</v>
      </c>
      <c r="J58" s="22" t="s">
        <v>78</v>
      </c>
      <c r="K58" s="18"/>
      <c r="L58" s="18"/>
      <c r="M58" s="18"/>
    </row>
    <row r="59" spans="7:13">
      <c r="G59" s="21" t="s">
        <v>81</v>
      </c>
      <c r="H59" s="21" t="s">
        <v>76</v>
      </c>
      <c r="I59" s="22" t="s">
        <v>77</v>
      </c>
      <c r="J59" s="22" t="s">
        <v>78</v>
      </c>
      <c r="K59" s="18"/>
      <c r="L59" s="18"/>
      <c r="M59" s="18"/>
    </row>
    <row r="60" spans="7:13">
      <c r="G60" s="21" t="s">
        <v>82</v>
      </c>
      <c r="H60" s="21" t="s">
        <v>76</v>
      </c>
      <c r="I60" s="22" t="s">
        <v>77</v>
      </c>
      <c r="J60" s="22" t="s">
        <v>78</v>
      </c>
      <c r="K60" s="18"/>
      <c r="L60" s="18"/>
      <c r="M60" s="18"/>
    </row>
    <row r="61" spans="7:13">
      <c r="G61" s="18"/>
      <c r="H61" s="18"/>
      <c r="I61" s="18"/>
      <c r="J61" s="18"/>
      <c r="K61" s="18"/>
      <c r="L61" s="18"/>
      <c r="M61" s="18"/>
    </row>
    <row r="62" spans="7:13">
      <c r="G62" s="19" t="s">
        <v>84</v>
      </c>
      <c r="H62" s="18"/>
      <c r="I62" s="18"/>
      <c r="J62" s="18"/>
      <c r="K62" s="18"/>
      <c r="L62" s="18"/>
      <c r="M62" s="18"/>
    </row>
    <row r="63" spans="7:13">
      <c r="G63" s="19" t="s">
        <v>87</v>
      </c>
      <c r="H63" s="18"/>
      <c r="I63" s="18"/>
      <c r="J63" s="18"/>
      <c r="K63" s="18"/>
      <c r="L63" s="18"/>
      <c r="M63" s="18"/>
    </row>
    <row r="64" spans="7:13">
      <c r="G64" s="19" t="s">
        <v>85</v>
      </c>
      <c r="H64" s="18"/>
      <c r="I64" s="18"/>
      <c r="J64" s="18"/>
      <c r="K64" s="18"/>
      <c r="L64" s="18"/>
      <c r="M64" s="18"/>
    </row>
    <row r="65" spans="7:13">
      <c r="G65" s="19" t="s">
        <v>86</v>
      </c>
      <c r="H65" s="18"/>
      <c r="I65" s="18"/>
      <c r="J65" s="18"/>
      <c r="K65" s="18"/>
      <c r="L65" s="18"/>
      <c r="M65" s="18"/>
    </row>
    <row r="66" spans="7:13">
      <c r="G66" s="19" t="s">
        <v>584</v>
      </c>
      <c r="H66" s="18"/>
      <c r="I66" s="18"/>
      <c r="J66" s="18"/>
      <c r="K66" s="18"/>
      <c r="L66" s="18"/>
      <c r="M66" s="18"/>
    </row>
    <row r="67" spans="7:13">
      <c r="G67" s="19" t="s">
        <v>88</v>
      </c>
      <c r="H67" s="18"/>
      <c r="I67" s="18"/>
      <c r="J67" s="18"/>
      <c r="K67" s="18"/>
      <c r="L67" s="18"/>
      <c r="M67" s="18"/>
    </row>
  </sheetData>
  <mergeCells count="5">
    <mergeCell ref="B3:O3"/>
    <mergeCell ref="B4:O4"/>
    <mergeCell ref="G14:Q14"/>
    <mergeCell ref="F11:F12"/>
    <mergeCell ref="N2:O2"/>
  </mergeCells>
  <hyperlinks>
    <hyperlink ref="N2:O2" location="Front!C1" display="Front!C1" xr:uid="{CCFA3C10-8677-44CD-B6F0-E30304FDDA24}"/>
  </hyperlinks>
  <pageMargins left="0.39370078740157483" right="0.39370078740157483" top="0.39370078740157483" bottom="0.39370078740157483" header="0.31496062992125984" footer="0.31496062992125984"/>
  <pageSetup paperSize="9" scale="94" fitToHeight="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5</xdr:col>
                    <xdr:colOff>633413</xdr:colOff>
                    <xdr:row>27</xdr:row>
                    <xdr:rowOff>14288</xdr:rowOff>
                  </from>
                  <to>
                    <xdr:col>7</xdr:col>
                    <xdr:colOff>323850</xdr:colOff>
                    <xdr:row>28</xdr:row>
                    <xdr:rowOff>57150</xdr:rowOff>
                  </to>
                </anchor>
              </controlPr>
            </control>
          </mc:Choice>
        </mc:AlternateContent>
        <mc:AlternateContent xmlns:mc="http://schemas.openxmlformats.org/markup-compatibility/2006">
          <mc:Choice Requires="x14">
            <control shapeId="3074" r:id="rId5" name="Drop Down 2">
              <controlPr defaultSize="0" autoLine="0" autoPict="0">
                <anchor moveWithCells="1">
                  <from>
                    <xdr:col>5</xdr:col>
                    <xdr:colOff>623888</xdr:colOff>
                    <xdr:row>29</xdr:row>
                    <xdr:rowOff>0</xdr:rowOff>
                  </from>
                  <to>
                    <xdr:col>7</xdr:col>
                    <xdr:colOff>342900</xdr:colOff>
                    <xdr:row>30</xdr:row>
                    <xdr:rowOff>52388</xdr:rowOff>
                  </to>
                </anchor>
              </controlPr>
            </control>
          </mc:Choice>
        </mc:AlternateContent>
        <mc:AlternateContent xmlns:mc="http://schemas.openxmlformats.org/markup-compatibility/2006">
          <mc:Choice Requires="x14">
            <control shapeId="3076" r:id="rId6" name="Drop Down 4">
              <controlPr defaultSize="0" autoLine="0" autoPict="0">
                <anchor moveWithCells="1">
                  <from>
                    <xdr:col>6</xdr:col>
                    <xdr:colOff>14288</xdr:colOff>
                    <xdr:row>41</xdr:row>
                    <xdr:rowOff>4763</xdr:rowOff>
                  </from>
                  <to>
                    <xdr:col>7</xdr:col>
                    <xdr:colOff>352425</xdr:colOff>
                    <xdr:row>42</xdr:row>
                    <xdr:rowOff>47625</xdr:rowOff>
                  </to>
                </anchor>
              </controlPr>
            </control>
          </mc:Choice>
        </mc:AlternateContent>
        <mc:AlternateContent xmlns:mc="http://schemas.openxmlformats.org/markup-compatibility/2006">
          <mc:Choice Requires="x14">
            <control shapeId="3077" r:id="rId7" name="Drop Down 5">
              <controlPr defaultSize="0" autoLine="0" autoPict="0">
                <anchor moveWithCells="1">
                  <from>
                    <xdr:col>6</xdr:col>
                    <xdr:colOff>0</xdr:colOff>
                    <xdr:row>43</xdr:row>
                    <xdr:rowOff>0</xdr:rowOff>
                  </from>
                  <to>
                    <xdr:col>7</xdr:col>
                    <xdr:colOff>366713</xdr:colOff>
                    <xdr:row>44</xdr:row>
                    <xdr:rowOff>52388</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34857-0E1E-4C08-8889-8D73F434FF48}">
  <dimension ref="B1:Q85"/>
  <sheetViews>
    <sheetView zoomScaleNormal="100" workbookViewId="0">
      <selection activeCell="P5" sqref="P5"/>
    </sheetView>
  </sheetViews>
  <sheetFormatPr defaultRowHeight="14.25"/>
  <cols>
    <col min="1" max="1" width="3.3984375" customWidth="1"/>
    <col min="2" max="2" width="10.59765625" customWidth="1"/>
  </cols>
  <sheetData>
    <row r="1" spans="2:17" ht="18">
      <c r="B1" s="113" t="s">
        <v>617</v>
      </c>
      <c r="C1" s="114"/>
      <c r="D1" s="114"/>
      <c r="E1" s="114"/>
      <c r="F1" s="114"/>
      <c r="G1" s="114"/>
      <c r="H1" s="115"/>
      <c r="I1" s="114"/>
      <c r="J1" s="114"/>
      <c r="K1" s="114"/>
      <c r="L1" s="114"/>
      <c r="M1" s="114"/>
      <c r="N1" s="114"/>
      <c r="O1" s="114"/>
    </row>
    <row r="2" spans="2:17" ht="18">
      <c r="N2" s="175" t="s">
        <v>578</v>
      </c>
      <c r="O2" s="175"/>
    </row>
    <row r="3" spans="2:17" s="165" customFormat="1">
      <c r="B3" s="194" t="s">
        <v>618</v>
      </c>
      <c r="C3" s="194"/>
      <c r="D3" s="194"/>
      <c r="E3" s="194"/>
      <c r="F3" s="194"/>
      <c r="G3" s="194"/>
      <c r="H3" s="194"/>
      <c r="I3" s="194"/>
      <c r="J3" s="194"/>
      <c r="K3" s="194"/>
      <c r="L3" s="194"/>
      <c r="M3" s="194"/>
      <c r="N3" s="194"/>
      <c r="O3" s="194"/>
    </row>
    <row r="4" spans="2:17" s="165" customFormat="1">
      <c r="B4" s="182" t="s">
        <v>619</v>
      </c>
      <c r="C4" s="182"/>
      <c r="D4" s="182"/>
      <c r="E4" s="182"/>
      <c r="F4" s="182"/>
      <c r="G4" s="182"/>
      <c r="H4" s="182"/>
      <c r="I4" s="182"/>
      <c r="J4" s="182"/>
      <c r="K4" s="182"/>
      <c r="L4" s="182"/>
      <c r="M4" s="182"/>
      <c r="N4" s="182"/>
      <c r="O4" s="182"/>
    </row>
    <row r="5" spans="2:17" s="165" customFormat="1">
      <c r="B5" s="182" t="s">
        <v>620</v>
      </c>
      <c r="C5" s="182"/>
      <c r="D5" s="182"/>
      <c r="E5" s="182"/>
      <c r="F5" s="182"/>
      <c r="G5" s="182"/>
      <c r="H5" s="182"/>
      <c r="I5" s="182"/>
      <c r="J5" s="182"/>
      <c r="K5" s="182"/>
      <c r="L5" s="182"/>
      <c r="M5" s="182"/>
      <c r="N5" s="182"/>
      <c r="O5" s="182"/>
    </row>
    <row r="6" spans="2:17">
      <c r="B6" s="167"/>
      <c r="C6" s="10"/>
      <c r="D6" s="11"/>
      <c r="E6" s="11"/>
      <c r="F6" s="160"/>
    </row>
    <row r="7" spans="2:17">
      <c r="B7" s="182" t="s">
        <v>621</v>
      </c>
      <c r="C7" s="182"/>
      <c r="D7" s="182"/>
      <c r="E7" s="182"/>
      <c r="F7" s="182"/>
      <c r="G7" s="182"/>
      <c r="H7" s="182"/>
      <c r="I7" s="182"/>
      <c r="J7" s="182"/>
      <c r="K7" s="182"/>
      <c r="L7" s="182"/>
      <c r="M7" s="182"/>
      <c r="N7" s="182"/>
      <c r="O7" s="182"/>
    </row>
    <row r="8" spans="2:17" ht="14.25" customHeight="1">
      <c r="E8" s="11"/>
      <c r="G8" s="170"/>
      <c r="H8" s="170"/>
      <c r="I8" s="170"/>
      <c r="J8" s="170"/>
      <c r="K8" s="170"/>
      <c r="L8" s="170"/>
      <c r="M8" s="170"/>
      <c r="N8" s="170"/>
      <c r="O8" s="170"/>
      <c r="P8" s="170"/>
      <c r="Q8" s="170"/>
    </row>
    <row r="9" spans="2:17">
      <c r="B9" s="182" t="s">
        <v>622</v>
      </c>
      <c r="C9" s="182"/>
      <c r="D9" s="182"/>
      <c r="E9" s="11"/>
      <c r="G9" s="25"/>
      <c r="I9" s="24"/>
      <c r="J9" s="24"/>
      <c r="K9" s="24"/>
      <c r="L9" s="24"/>
      <c r="M9" s="24"/>
      <c r="N9" s="24"/>
      <c r="O9" s="24"/>
    </row>
    <row r="10" spans="2:17">
      <c r="B10" s="167"/>
      <c r="C10" s="10"/>
      <c r="D10" s="11"/>
      <c r="E10" s="11"/>
      <c r="G10" s="26"/>
      <c r="I10" s="23"/>
      <c r="J10" s="23"/>
      <c r="K10" s="23"/>
      <c r="L10" s="23"/>
      <c r="M10" s="23"/>
      <c r="N10" s="23"/>
      <c r="O10" s="23"/>
    </row>
    <row r="11" spans="2:17">
      <c r="B11" s="167"/>
      <c r="C11" s="10"/>
      <c r="D11" s="11"/>
      <c r="E11" s="11"/>
    </row>
    <row r="12" spans="2:17">
      <c r="B12" s="182" t="s">
        <v>623</v>
      </c>
      <c r="C12" s="182"/>
      <c r="D12" s="182"/>
      <c r="E12" s="182"/>
      <c r="F12" s="182"/>
      <c r="G12" s="182"/>
      <c r="H12" s="182"/>
      <c r="I12" s="182"/>
      <c r="J12" s="182"/>
      <c r="K12" s="182"/>
      <c r="L12" s="182"/>
      <c r="M12" s="182"/>
      <c r="N12" s="182"/>
      <c r="O12" s="182"/>
    </row>
    <row r="13" spans="2:17">
      <c r="B13" s="10"/>
      <c r="C13" s="10"/>
      <c r="D13" s="11"/>
      <c r="E13" s="11"/>
      <c r="G13" s="13"/>
    </row>
    <row r="14" spans="2:17">
      <c r="B14" s="10"/>
      <c r="C14" s="10"/>
      <c r="D14" s="11"/>
      <c r="E14" s="11"/>
      <c r="G14" s="13"/>
    </row>
    <row r="15" spans="2:17">
      <c r="B15" s="10"/>
      <c r="C15" s="10"/>
      <c r="D15" s="11"/>
      <c r="E15" s="11"/>
    </row>
    <row r="16" spans="2:17">
      <c r="B16" s="194" t="s">
        <v>624</v>
      </c>
      <c r="C16" s="194"/>
      <c r="D16" s="194"/>
      <c r="E16" s="194"/>
      <c r="F16" s="194"/>
      <c r="G16" s="194"/>
      <c r="H16" s="194"/>
      <c r="I16" s="194"/>
      <c r="J16" s="194"/>
      <c r="K16" s="194"/>
      <c r="L16" s="194"/>
      <c r="M16" s="194"/>
      <c r="N16" s="194"/>
      <c r="O16" s="194"/>
    </row>
    <row r="17" spans="2:15">
      <c r="B17" s="182" t="s">
        <v>625</v>
      </c>
      <c r="C17" s="182"/>
      <c r="D17" s="182"/>
      <c r="E17" s="182"/>
      <c r="F17" s="182"/>
      <c r="G17" s="182"/>
      <c r="H17" s="182"/>
      <c r="I17" s="182"/>
      <c r="J17" s="182"/>
      <c r="K17" s="182"/>
      <c r="L17" s="182"/>
      <c r="M17" s="182"/>
      <c r="N17" s="182"/>
      <c r="O17" s="182"/>
    </row>
    <row r="18" spans="2:15">
      <c r="B18" s="182" t="s">
        <v>626</v>
      </c>
      <c r="C18" s="182"/>
      <c r="D18" s="182"/>
      <c r="E18" s="182"/>
      <c r="F18" s="182"/>
      <c r="G18" s="182"/>
      <c r="H18" s="182"/>
      <c r="I18" s="182"/>
      <c r="J18" s="182"/>
      <c r="K18" s="182"/>
      <c r="L18" s="182"/>
      <c r="M18" s="182"/>
      <c r="N18" s="182"/>
      <c r="O18" s="182"/>
    </row>
    <row r="19" spans="2:15">
      <c r="B19" s="10"/>
      <c r="C19" s="10"/>
      <c r="D19" s="11"/>
      <c r="E19" s="11"/>
    </row>
    <row r="20" spans="2:15">
      <c r="B20" s="182" t="s">
        <v>627</v>
      </c>
      <c r="C20" s="182"/>
      <c r="D20" s="182"/>
      <c r="E20" s="182"/>
      <c r="F20" s="182"/>
      <c r="G20" s="182"/>
      <c r="H20" s="182"/>
      <c r="I20" s="182"/>
      <c r="J20" s="182"/>
      <c r="K20" s="182"/>
    </row>
    <row r="21" spans="2:15">
      <c r="B21" s="167"/>
      <c r="C21" s="10"/>
      <c r="D21" s="11"/>
    </row>
    <row r="22" spans="2:15">
      <c r="B22" s="182" t="s">
        <v>635</v>
      </c>
      <c r="C22" s="182"/>
      <c r="D22" s="182"/>
      <c r="E22" s="182"/>
      <c r="F22" s="182"/>
      <c r="G22" s="182"/>
      <c r="H22" s="182"/>
      <c r="I22" s="182"/>
      <c r="J22" s="182"/>
      <c r="K22" s="182"/>
    </row>
    <row r="23" spans="2:15">
      <c r="B23" s="167"/>
      <c r="C23" s="10"/>
      <c r="D23" s="11"/>
    </row>
    <row r="24" spans="2:15" ht="28.9" customHeight="1">
      <c r="B24" s="195" t="s">
        <v>628</v>
      </c>
      <c r="C24" s="195"/>
      <c r="D24" s="195"/>
      <c r="E24" s="195"/>
      <c r="F24" s="195"/>
      <c r="G24" s="195"/>
      <c r="H24" s="195"/>
      <c r="I24" s="195"/>
      <c r="J24" s="195"/>
      <c r="K24" s="195"/>
    </row>
    <row r="25" spans="2:15" ht="13.9" customHeight="1">
      <c r="B25" s="168"/>
      <c r="C25" s="168"/>
      <c r="D25" s="168"/>
      <c r="E25" s="168"/>
      <c r="F25" s="168"/>
      <c r="G25" s="168"/>
      <c r="H25" s="168"/>
      <c r="I25" s="168"/>
      <c r="J25" s="168"/>
      <c r="K25" s="168"/>
    </row>
    <row r="26" spans="2:15">
      <c r="B26" s="182" t="s">
        <v>629</v>
      </c>
      <c r="C26" s="182"/>
      <c r="D26" s="182"/>
      <c r="E26" s="182"/>
      <c r="F26" s="182"/>
      <c r="G26" s="182"/>
      <c r="H26" s="182"/>
      <c r="I26" s="182"/>
      <c r="J26" s="182"/>
      <c r="K26" s="182"/>
    </row>
    <row r="27" spans="2:15">
      <c r="B27" s="182" t="s">
        <v>630</v>
      </c>
      <c r="C27" s="182"/>
      <c r="D27" s="182"/>
      <c r="E27" s="182"/>
      <c r="F27" s="182"/>
      <c r="G27" s="182"/>
      <c r="H27" s="182"/>
      <c r="I27" s="182"/>
      <c r="J27" s="182"/>
      <c r="K27" s="182"/>
    </row>
    <row r="28" spans="2:15">
      <c r="B28" s="182" t="s">
        <v>631</v>
      </c>
      <c r="C28" s="182"/>
      <c r="D28" s="182"/>
      <c r="E28" s="182"/>
      <c r="F28" s="182"/>
      <c r="G28" s="182"/>
      <c r="H28" s="182"/>
      <c r="I28" s="182"/>
      <c r="J28" s="182"/>
      <c r="K28" s="182"/>
    </row>
    <row r="29" spans="2:15">
      <c r="B29" s="182" t="s">
        <v>632</v>
      </c>
      <c r="C29" s="182"/>
      <c r="D29" s="182"/>
      <c r="E29" s="182"/>
      <c r="F29" s="182"/>
      <c r="G29" s="182"/>
      <c r="H29" s="182"/>
      <c r="I29" s="182"/>
      <c r="J29" s="182"/>
      <c r="K29" s="182"/>
    </row>
    <row r="30" spans="2:15" ht="33.4" customHeight="1">
      <c r="B30" s="195" t="s">
        <v>633</v>
      </c>
      <c r="C30" s="195"/>
      <c r="D30" s="195"/>
      <c r="E30" s="195"/>
      <c r="F30" s="195"/>
      <c r="G30" s="195"/>
      <c r="H30" s="195"/>
      <c r="I30" s="195"/>
      <c r="J30" s="195"/>
      <c r="K30" s="195"/>
    </row>
    <row r="31" spans="2:15">
      <c r="B31" s="167"/>
      <c r="C31" s="10"/>
      <c r="D31" s="11"/>
    </row>
    <row r="32" spans="2:15">
      <c r="B32" s="182" t="s">
        <v>634</v>
      </c>
      <c r="C32" s="182"/>
      <c r="D32" s="182"/>
      <c r="E32" s="182"/>
      <c r="F32" s="182"/>
      <c r="G32" s="182"/>
      <c r="H32" s="182"/>
      <c r="I32" s="182"/>
      <c r="J32" s="182"/>
      <c r="K32" s="182"/>
    </row>
    <row r="33" spans="2:13">
      <c r="B33" s="10"/>
      <c r="C33" s="10"/>
      <c r="D33" s="11"/>
    </row>
    <row r="34" spans="2:13">
      <c r="B34" s="10"/>
      <c r="C34" s="10"/>
      <c r="D34" s="11"/>
    </row>
    <row r="35" spans="2:13">
      <c r="B35" s="194" t="s">
        <v>636</v>
      </c>
      <c r="C35" s="194"/>
      <c r="D35" s="194"/>
      <c r="E35" s="194"/>
      <c r="F35" s="194"/>
      <c r="G35" s="194"/>
      <c r="H35" s="194"/>
      <c r="I35" s="194"/>
      <c r="J35" s="194"/>
      <c r="K35" s="194"/>
    </row>
    <row r="36" spans="2:13" ht="15" customHeight="1">
      <c r="B36" s="182" t="s">
        <v>637</v>
      </c>
      <c r="C36" s="182"/>
      <c r="D36" s="182"/>
      <c r="E36" s="182"/>
      <c r="F36" s="182"/>
      <c r="G36" s="182"/>
      <c r="H36" s="182"/>
      <c r="I36" s="182"/>
      <c r="J36" s="182"/>
      <c r="K36" s="182"/>
    </row>
    <row r="43" spans="2:13">
      <c r="B43" s="194" t="s">
        <v>638</v>
      </c>
      <c r="C43" s="194"/>
      <c r="D43" s="194"/>
      <c r="E43" s="194"/>
      <c r="F43" s="194"/>
      <c r="G43" s="194"/>
      <c r="H43" s="194"/>
      <c r="I43" s="194"/>
      <c r="J43" s="194"/>
      <c r="K43" s="194"/>
      <c r="L43" s="194"/>
      <c r="M43" s="194"/>
    </row>
    <row r="44" spans="2:13" ht="19.5" customHeight="1">
      <c r="B44" s="182" t="s">
        <v>639</v>
      </c>
      <c r="C44" s="182"/>
      <c r="D44" s="182"/>
      <c r="E44" s="182"/>
      <c r="F44" s="182"/>
      <c r="G44" s="182"/>
      <c r="H44" s="182"/>
      <c r="I44" s="182"/>
      <c r="J44" s="182"/>
      <c r="K44" s="182"/>
      <c r="L44" s="182"/>
      <c r="M44" s="182"/>
    </row>
    <row r="47" spans="2:13">
      <c r="B47" s="194" t="s">
        <v>640</v>
      </c>
      <c r="C47" s="194"/>
      <c r="D47" s="194"/>
      <c r="E47" s="194"/>
      <c r="F47" s="194"/>
      <c r="G47" s="194"/>
      <c r="H47" s="194"/>
      <c r="I47" s="194"/>
      <c r="J47" s="194"/>
      <c r="K47" s="194"/>
    </row>
    <row r="48" spans="2:13">
      <c r="B48" s="182" t="s">
        <v>641</v>
      </c>
      <c r="C48" s="182"/>
      <c r="D48" s="182"/>
      <c r="E48" s="182"/>
      <c r="F48" s="182"/>
      <c r="G48" s="182"/>
      <c r="H48" s="182"/>
      <c r="I48" s="182"/>
      <c r="J48" s="182"/>
      <c r="K48" s="182"/>
      <c r="L48" s="182"/>
      <c r="M48" s="182"/>
    </row>
    <row r="49" spans="2:13">
      <c r="B49" s="167"/>
    </row>
    <row r="50" spans="2:13">
      <c r="B50" s="167"/>
    </row>
    <row r="52" spans="2:13">
      <c r="B52" s="194" t="s">
        <v>642</v>
      </c>
      <c r="C52" s="194"/>
      <c r="D52" s="194"/>
      <c r="E52" s="194"/>
      <c r="F52" s="194"/>
      <c r="G52" s="194"/>
      <c r="H52" s="194"/>
      <c r="I52" s="194"/>
      <c r="J52" s="194"/>
      <c r="K52" s="194"/>
    </row>
    <row r="53" spans="2:13">
      <c r="B53" s="196" t="s">
        <v>643</v>
      </c>
      <c r="C53" s="196"/>
      <c r="D53" s="196"/>
      <c r="E53" s="196"/>
      <c r="F53" s="196"/>
      <c r="G53" s="196"/>
      <c r="H53" s="196"/>
      <c r="I53" s="196"/>
      <c r="J53" s="196"/>
      <c r="K53" s="196"/>
    </row>
    <row r="54" spans="2:13">
      <c r="B54" s="196" t="s">
        <v>644</v>
      </c>
      <c r="C54" s="196"/>
      <c r="D54" s="196"/>
      <c r="E54" s="196"/>
      <c r="F54" s="196"/>
      <c r="G54" s="196"/>
      <c r="H54" s="196"/>
      <c r="I54" s="196"/>
      <c r="J54" s="196"/>
      <c r="K54" s="196"/>
    </row>
    <row r="56" spans="2:13">
      <c r="B56" s="182" t="s">
        <v>645</v>
      </c>
      <c r="C56" s="182"/>
      <c r="D56" s="182"/>
      <c r="E56" s="182"/>
    </row>
    <row r="58" spans="2:13">
      <c r="B58" t="s">
        <v>646</v>
      </c>
    </row>
    <row r="59" spans="2:13">
      <c r="G59" s="19"/>
      <c r="H59" s="18"/>
      <c r="I59" s="18"/>
      <c r="J59" s="18"/>
      <c r="K59" s="18"/>
      <c r="L59" s="18"/>
      <c r="M59" s="18"/>
    </row>
    <row r="60" spans="2:13">
      <c r="G60" s="19"/>
      <c r="H60" s="18"/>
      <c r="I60" s="18"/>
      <c r="J60" s="18"/>
      <c r="K60" s="18"/>
      <c r="L60" s="18"/>
      <c r="M60" s="18"/>
    </row>
    <row r="61" spans="2:13">
      <c r="G61" s="19"/>
      <c r="H61" s="18"/>
      <c r="I61" s="18"/>
      <c r="J61" s="18"/>
      <c r="K61" s="18"/>
      <c r="L61" s="18"/>
      <c r="M61" s="18"/>
    </row>
    <row r="62" spans="2:13">
      <c r="G62" s="19"/>
      <c r="H62" s="18"/>
      <c r="I62" s="18"/>
      <c r="J62" s="18"/>
      <c r="K62" s="18"/>
      <c r="L62" s="18"/>
      <c r="M62" s="18"/>
    </row>
    <row r="63" spans="2:13">
      <c r="G63" s="19"/>
      <c r="H63" s="18"/>
      <c r="I63" s="18"/>
      <c r="J63" s="18"/>
      <c r="K63" s="18"/>
      <c r="L63" s="18"/>
      <c r="M63" s="18"/>
    </row>
    <row r="68" spans="2:13">
      <c r="B68" s="166" t="s">
        <v>647</v>
      </c>
    </row>
    <row r="69" spans="2:13" ht="29.25" customHeight="1">
      <c r="B69" s="195" t="s">
        <v>648</v>
      </c>
      <c r="C69" s="195"/>
      <c r="D69" s="195"/>
      <c r="E69" s="195"/>
      <c r="F69" s="195"/>
      <c r="G69" s="195"/>
      <c r="H69" s="195"/>
      <c r="I69" s="195"/>
      <c r="J69" s="195"/>
      <c r="K69" s="195"/>
      <c r="L69" s="195"/>
    </row>
    <row r="70" spans="2:13">
      <c r="B70" s="182" t="s">
        <v>649</v>
      </c>
      <c r="C70" s="182"/>
      <c r="D70" s="182"/>
      <c r="E70" s="182"/>
      <c r="F70" s="182"/>
      <c r="G70" s="182"/>
      <c r="H70" s="182"/>
      <c r="I70" s="182"/>
      <c r="J70" s="182"/>
      <c r="K70" s="182"/>
      <c r="L70" s="182"/>
    </row>
    <row r="71" spans="2:13">
      <c r="B71" s="167"/>
    </row>
    <row r="72" spans="2:13">
      <c r="B72" s="182" t="s">
        <v>650</v>
      </c>
      <c r="C72" s="182"/>
      <c r="D72" s="182"/>
      <c r="E72" s="182"/>
      <c r="F72" s="182"/>
      <c r="G72" s="182"/>
      <c r="H72" s="182"/>
      <c r="I72" s="182"/>
      <c r="J72" s="182"/>
      <c r="K72" s="182"/>
      <c r="L72" s="182"/>
    </row>
    <row r="73" spans="2:13">
      <c r="B73" s="167"/>
    </row>
    <row r="74" spans="2:13">
      <c r="B74" s="182" t="s">
        <v>651</v>
      </c>
      <c r="C74" s="182"/>
      <c r="D74" s="182"/>
      <c r="E74" s="182"/>
      <c r="F74" s="182"/>
      <c r="G74" s="182"/>
      <c r="H74" s="182"/>
      <c r="I74" s="182"/>
      <c r="J74" s="182"/>
      <c r="K74" s="182"/>
      <c r="L74" s="182"/>
    </row>
    <row r="76" spans="2:13" ht="29.25" customHeight="1">
      <c r="B76" s="195" t="s">
        <v>652</v>
      </c>
      <c r="C76" s="195"/>
      <c r="D76" s="195"/>
      <c r="E76" s="195"/>
      <c r="F76" s="195"/>
      <c r="G76" s="195"/>
      <c r="H76" s="195"/>
      <c r="I76" s="195"/>
      <c r="J76" s="195"/>
      <c r="K76" s="195"/>
      <c r="L76" s="195"/>
    </row>
    <row r="77" spans="2:13">
      <c r="B77" s="167"/>
    </row>
    <row r="78" spans="2:13" ht="28.9" customHeight="1">
      <c r="B78" s="195" t="s">
        <v>653</v>
      </c>
      <c r="C78" s="195"/>
      <c r="D78" s="195"/>
      <c r="E78" s="195"/>
      <c r="F78" s="195"/>
      <c r="G78" s="195"/>
      <c r="H78" s="195"/>
      <c r="I78" s="195"/>
      <c r="J78" s="195"/>
      <c r="K78" s="195"/>
      <c r="L78" s="195"/>
    </row>
    <row r="79" spans="2:13">
      <c r="B79" s="169"/>
      <c r="C79" s="182"/>
      <c r="D79" s="182"/>
      <c r="E79" s="182"/>
      <c r="F79" s="182"/>
      <c r="G79" s="182"/>
      <c r="H79" s="182"/>
      <c r="I79" s="182"/>
      <c r="J79" s="182"/>
      <c r="K79" s="182"/>
      <c r="L79" s="182"/>
      <c r="M79" s="182"/>
    </row>
    <row r="80" spans="2:13">
      <c r="B80" s="169"/>
    </row>
    <row r="81" spans="2:9">
      <c r="B81" s="169"/>
    </row>
    <row r="84" spans="2:9">
      <c r="B84" s="194" t="s">
        <v>654</v>
      </c>
      <c r="C84" s="194"/>
      <c r="D84" s="194"/>
      <c r="E84" s="194"/>
      <c r="F84" s="194"/>
      <c r="G84" s="194"/>
      <c r="H84" s="194"/>
      <c r="I84" s="194"/>
    </row>
    <row r="85" spans="2:9" ht="27.4" customHeight="1">
      <c r="B85" s="195" t="s">
        <v>655</v>
      </c>
      <c r="C85" s="195"/>
      <c r="D85" s="195"/>
      <c r="E85" s="195"/>
      <c r="F85" s="195"/>
      <c r="G85" s="195"/>
      <c r="H85" s="195"/>
      <c r="I85" s="195"/>
    </row>
  </sheetData>
  <mergeCells count="38">
    <mergeCell ref="N2:O2"/>
    <mergeCell ref="B3:O3"/>
    <mergeCell ref="B4:O4"/>
    <mergeCell ref="B5:O5"/>
    <mergeCell ref="B7:O7"/>
    <mergeCell ref="B29:K29"/>
    <mergeCell ref="B12:O12"/>
    <mergeCell ref="B9:D9"/>
    <mergeCell ref="B16:O16"/>
    <mergeCell ref="B17:O17"/>
    <mergeCell ref="B18:O18"/>
    <mergeCell ref="B20:K20"/>
    <mergeCell ref="B22:K22"/>
    <mergeCell ref="B24:K24"/>
    <mergeCell ref="B26:K26"/>
    <mergeCell ref="B27:K27"/>
    <mergeCell ref="B28:K28"/>
    <mergeCell ref="B56:E56"/>
    <mergeCell ref="B30:K30"/>
    <mergeCell ref="B32:K32"/>
    <mergeCell ref="B35:K35"/>
    <mergeCell ref="B36:K36"/>
    <mergeCell ref="B43:M43"/>
    <mergeCell ref="B44:M44"/>
    <mergeCell ref="B47:K47"/>
    <mergeCell ref="B48:M48"/>
    <mergeCell ref="B52:K52"/>
    <mergeCell ref="B53:K53"/>
    <mergeCell ref="B54:K54"/>
    <mergeCell ref="B84:I84"/>
    <mergeCell ref="B85:I85"/>
    <mergeCell ref="B69:L69"/>
    <mergeCell ref="B70:L70"/>
    <mergeCell ref="B72:L72"/>
    <mergeCell ref="B74:L74"/>
    <mergeCell ref="C79:M79"/>
    <mergeCell ref="B76:L76"/>
    <mergeCell ref="B78:L78"/>
  </mergeCells>
  <hyperlinks>
    <hyperlink ref="N2:O2" location="Front!C1" display="Front!C1" xr:uid="{CD580D11-768C-4AA9-B607-072CC2B42387}"/>
  </hyperlinks>
  <pageMargins left="0.39370078740157483" right="0.39370078740157483" top="0.39370078740157483" bottom="0.39370078740157483" header="0.31496062992125984" footer="0.31496062992125984"/>
  <pageSetup paperSize="9" fitToHeight="3" orientation="landscape" r:id="rId1"/>
  <rowBreaks count="1" manualBreakCount="1">
    <brk id="67" min="1" max="14"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B880E-7852-4486-B534-317678F2FB56}">
  <sheetPr>
    <pageSetUpPr fitToPage="1"/>
  </sheetPr>
  <dimension ref="B1:O27"/>
  <sheetViews>
    <sheetView workbookViewId="0">
      <selection activeCell="N2" sqref="N2:O2"/>
    </sheetView>
  </sheetViews>
  <sheetFormatPr defaultColWidth="8.73046875" defaultRowHeight="11.65"/>
  <cols>
    <col min="1" max="1" width="4.19921875" style="1" customWidth="1"/>
    <col min="2" max="16384" width="8.73046875" style="1"/>
  </cols>
  <sheetData>
    <row r="1" spans="2:15" ht="18">
      <c r="B1" s="113" t="s">
        <v>6</v>
      </c>
      <c r="C1" s="114"/>
      <c r="D1" s="114"/>
      <c r="E1" s="114"/>
      <c r="F1" s="114"/>
      <c r="G1" s="114"/>
      <c r="H1" s="115"/>
      <c r="I1" s="114"/>
      <c r="J1" s="114"/>
      <c r="K1" s="114"/>
      <c r="L1" s="114"/>
      <c r="M1" s="114"/>
      <c r="N1" s="114"/>
      <c r="O1" s="114"/>
    </row>
    <row r="2" spans="2:15" ht="18">
      <c r="N2" s="175" t="s">
        <v>578</v>
      </c>
      <c r="O2" s="175"/>
    </row>
    <row r="3" spans="2:15">
      <c r="J3" s="3" t="s">
        <v>11</v>
      </c>
      <c r="N3" s="3" t="s">
        <v>12</v>
      </c>
    </row>
    <row r="4" spans="2:15">
      <c r="N4" s="4" t="s">
        <v>13</v>
      </c>
    </row>
    <row r="5" spans="2:15">
      <c r="B5" s="2" t="s">
        <v>0</v>
      </c>
      <c r="C5" s="2">
        <v>1</v>
      </c>
      <c r="D5" s="2">
        <v>2</v>
      </c>
      <c r="E5" s="2">
        <v>3</v>
      </c>
      <c r="F5" s="2">
        <v>4</v>
      </c>
      <c r="G5" s="2">
        <v>5</v>
      </c>
      <c r="H5" s="2">
        <v>6</v>
      </c>
      <c r="J5" s="1" t="str" cm="1">
        <f t="array" aca="1" ref="J5:J8" ca="1">OFFSET(A4,1,1,4)</f>
        <v>AA</v>
      </c>
      <c r="N5" s="1" t="str" cm="1">
        <f t="array" aca="1" ref="N5:N23" ca="1">OFFSET(A4,1,1,COUNTA($B:$B))</f>
        <v>AA</v>
      </c>
    </row>
    <row r="6" spans="2:15">
      <c r="B6" s="2" t="s">
        <v>1</v>
      </c>
      <c r="C6" s="2">
        <v>7</v>
      </c>
      <c r="D6" s="2">
        <v>8</v>
      </c>
      <c r="E6" s="2">
        <v>9</v>
      </c>
      <c r="F6" s="2">
        <v>10</v>
      </c>
      <c r="G6" s="2">
        <v>11</v>
      </c>
      <c r="H6" s="2">
        <v>12</v>
      </c>
      <c r="J6" s="1" t="str">
        <f ca="1"/>
        <v>BB</v>
      </c>
      <c r="N6" s="1" t="str">
        <f ca="1"/>
        <v>BB</v>
      </c>
    </row>
    <row r="7" spans="2:15">
      <c r="B7" s="2" t="s">
        <v>2</v>
      </c>
      <c r="C7" s="2">
        <v>1</v>
      </c>
      <c r="D7" s="2">
        <v>4</v>
      </c>
      <c r="E7" s="2">
        <v>7</v>
      </c>
      <c r="F7" s="2">
        <v>9</v>
      </c>
      <c r="G7" s="2">
        <v>0</v>
      </c>
      <c r="H7" s="2">
        <v>3</v>
      </c>
      <c r="J7" s="1" t="str">
        <f ca="1"/>
        <v>CC</v>
      </c>
      <c r="N7" s="1" t="str">
        <f ca="1"/>
        <v>CC</v>
      </c>
    </row>
    <row r="8" spans="2:15">
      <c r="B8" s="2" t="s">
        <v>3</v>
      </c>
      <c r="C8" s="2">
        <v>10</v>
      </c>
      <c r="D8" s="2">
        <v>20</v>
      </c>
      <c r="E8" s="2">
        <v>30</v>
      </c>
      <c r="F8" s="2">
        <v>44</v>
      </c>
      <c r="G8" s="2">
        <v>50</v>
      </c>
      <c r="H8" s="2">
        <v>60</v>
      </c>
      <c r="J8" s="1" t="str">
        <f ca="1"/>
        <v>DD</v>
      </c>
      <c r="N8" s="1" t="str">
        <f ca="1"/>
        <v>DD</v>
      </c>
    </row>
    <row r="9" spans="2:15">
      <c r="B9" s="2" t="s">
        <v>4</v>
      </c>
      <c r="C9" s="2">
        <v>100</v>
      </c>
      <c r="D9" s="2">
        <v>200</v>
      </c>
      <c r="E9" s="2">
        <v>300</v>
      </c>
      <c r="F9" s="2">
        <v>400</v>
      </c>
      <c r="G9" s="2">
        <v>500</v>
      </c>
      <c r="H9" s="2">
        <v>600</v>
      </c>
      <c r="N9" s="1" t="str">
        <f ca="1"/>
        <v>EE</v>
      </c>
    </row>
    <row r="10" spans="2:15">
      <c r="B10" s="2" t="s">
        <v>5</v>
      </c>
      <c r="C10" s="2"/>
      <c r="D10" s="2"/>
      <c r="E10" s="2"/>
      <c r="F10" s="2"/>
      <c r="G10" s="2"/>
      <c r="H10" s="2"/>
      <c r="N10" s="1" t="str">
        <f ca="1"/>
        <v>FF</v>
      </c>
    </row>
    <row r="11" spans="2:15">
      <c r="N11" s="1">
        <f ca="1"/>
        <v>0</v>
      </c>
    </row>
    <row r="12" spans="2:15">
      <c r="N12" s="1">
        <f ca="1"/>
        <v>0</v>
      </c>
    </row>
    <row r="13" spans="2:15" ht="13.15">
      <c r="B13" s="86" t="s">
        <v>7</v>
      </c>
      <c r="C13" s="23"/>
      <c r="D13" s="23"/>
      <c r="N13" s="1" t="str">
        <f ca="1"/>
        <v>Structure of offset formula</v>
      </c>
    </row>
    <row r="14" spans="2:15" ht="13.15">
      <c r="B14" s="87" t="s">
        <v>14</v>
      </c>
      <c r="C14" s="23"/>
      <c r="D14" s="23"/>
      <c r="N14" s="1" t="str">
        <f ca="1"/>
        <v>=Offset(reference cell, number of cells down, number of cells across, height of cell range, width of cell range)</v>
      </c>
    </row>
    <row r="15" spans="2:15" ht="13.15">
      <c r="B15" s="88" t="s">
        <v>139</v>
      </c>
      <c r="C15" s="23"/>
      <c r="D15" s="23"/>
      <c r="N15" s="1" t="str">
        <f ca="1"/>
        <v>If you don’t specify the height and width of the cell range, these will be equal to 1</v>
      </c>
    </row>
    <row r="16" spans="2:15">
      <c r="B16" s="1" t="s">
        <v>585</v>
      </c>
      <c r="N16" s="1" t="str">
        <f ca="1"/>
        <v>But if so, add commas to represent the arguments relating to each part of the formula  Eg: =Offset(G9,1,,,)</v>
      </c>
      <c r="O16" s="1" t="str">
        <f ca="1">OFFSET(A4,1,1)</f>
        <v>AA</v>
      </c>
    </row>
    <row r="17" spans="2:15" ht="13.15">
      <c r="B17" s="23" t="s">
        <v>15</v>
      </c>
      <c r="C17" s="23"/>
      <c r="D17" s="23"/>
      <c r="N17" s="1" t="str">
        <f ca="1"/>
        <v>So, =Offset(B4, 1,1) would move one cell down and across from B4, to deliver the value  'AA')</v>
      </c>
      <c r="O17" s="1" t="str" cm="1">
        <f t="array" aca="1" ref="O17:O21" ca="1">OFFSET(A4,1,1,5,1)</f>
        <v>AA</v>
      </c>
    </row>
    <row r="18" spans="2:15" ht="13.15">
      <c r="B18" s="23" t="s">
        <v>586</v>
      </c>
      <c r="C18" s="23"/>
      <c r="D18" s="23"/>
      <c r="N18" s="1" t="str">
        <f ca="1"/>
        <v>So, =Offset(B4, 1,1,5,1) would move one down,  one across and select a range 5 cells in height and one wide, to deliver the range 'AA:EE'</v>
      </c>
      <c r="O18" s="1" t="str">
        <f ca="1"/>
        <v>BB</v>
      </c>
    </row>
    <row r="19" spans="2:15" ht="13.15">
      <c r="B19" s="1" t="s">
        <v>16</v>
      </c>
      <c r="C19" s="23"/>
      <c r="D19" s="23"/>
      <c r="N19" s="1" t="str">
        <f ca="1"/>
        <v>To refer to a range generated by an offset formula, you can write the address of the cell with the offset formula in it, followed by a hash. Eg: O5#</v>
      </c>
      <c r="O19" s="1" t="str">
        <f ca="1"/>
        <v>CC</v>
      </c>
    </row>
    <row r="20" spans="2:15" ht="13.15">
      <c r="B20" s="23"/>
      <c r="C20" s="23"/>
      <c r="D20" s="23"/>
      <c r="N20" s="1">
        <f ca="1"/>
        <v>0</v>
      </c>
      <c r="O20" s="1" t="str">
        <f ca="1"/>
        <v>DD</v>
      </c>
    </row>
    <row r="21" spans="2:15" ht="13.15">
      <c r="C21" s="23"/>
      <c r="D21" s="23"/>
      <c r="N21" s="1">
        <f ca="1"/>
        <v>0</v>
      </c>
      <c r="O21" s="1" t="str">
        <f ca="1"/>
        <v>EE</v>
      </c>
    </row>
    <row r="22" spans="2:15" ht="13.15">
      <c r="C22" s="23"/>
      <c r="D22" s="23"/>
      <c r="N22" s="1">
        <f ca="1"/>
        <v>0</v>
      </c>
    </row>
    <row r="23" spans="2:15" ht="13.15">
      <c r="B23" s="86" t="s">
        <v>8</v>
      </c>
      <c r="C23" s="23"/>
      <c r="D23" s="23"/>
      <c r="N23" s="1" t="str">
        <f ca="1"/>
        <v>Installing a list created by an offset formula into a validation list</v>
      </c>
    </row>
    <row r="24" spans="2:15" ht="13.15">
      <c r="B24" s="23" t="s">
        <v>9</v>
      </c>
      <c r="C24" s="23"/>
      <c r="D24" s="23"/>
    </row>
    <row r="25" spans="2:15" ht="13.15">
      <c r="B25" s="23" t="s">
        <v>138</v>
      </c>
      <c r="C25" s="23"/>
      <c r="D25" s="23"/>
    </row>
    <row r="26" spans="2:15" ht="13.15">
      <c r="B26" s="23" t="s">
        <v>10</v>
      </c>
    </row>
    <row r="27" spans="2:15" ht="13.15">
      <c r="B27" s="23" t="s">
        <v>511</v>
      </c>
    </row>
  </sheetData>
  <mergeCells count="1">
    <mergeCell ref="N2:O2"/>
  </mergeCells>
  <dataValidations count="2">
    <dataValidation type="list" allowBlank="1" showInputMessage="1" showErrorMessage="1" sqref="O8" xr:uid="{2A8365C0-10A2-40A3-B8D9-685438D292B3}">
      <formula1>OFFSET($A$4,1,1,6)</formula1>
    </dataValidation>
    <dataValidation type="list" allowBlank="1" showInputMessage="1" showErrorMessage="1" sqref="O7" xr:uid="{C9E1BBA9-5DE1-4272-8F83-DC9588D53F9F}">
      <formula1>_xlfn.ANCHORARRAY(B19)</formula1>
    </dataValidation>
  </dataValidations>
  <hyperlinks>
    <hyperlink ref="N2:O2" location="Front!C1" display="Front!C1" xr:uid="{2D8C2410-CD8C-49F6-8FD3-380DBECCD282}"/>
  </hyperlinks>
  <pageMargins left="0.39370078740157483" right="0.39370078740157483" top="0.39370078740157483" bottom="0.39370078740157483" header="0.31496062992125984" footer="0.31496062992125984"/>
  <pageSetup paperSize="9" scale="79" orientation="landscape"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8FB2A-1A48-4DDC-BC67-43742112EF14}">
  <sheetPr>
    <pageSetUpPr fitToPage="1"/>
  </sheetPr>
  <dimension ref="B1:P27"/>
  <sheetViews>
    <sheetView workbookViewId="0">
      <selection activeCell="O2" sqref="O2:P2"/>
    </sheetView>
  </sheetViews>
  <sheetFormatPr defaultColWidth="9.1328125" defaultRowHeight="14.25"/>
  <cols>
    <col min="1" max="1" width="3.73046875" style="89" customWidth="1"/>
    <col min="2" max="2" width="9.73046875" style="92" customWidth="1"/>
    <col min="3" max="6" width="14" style="89" customWidth="1"/>
    <col min="7" max="7" width="2.86328125" style="89" customWidth="1"/>
    <col min="8" max="8" width="8.59765625" style="90" customWidth="1"/>
    <col min="9" max="10" width="9.1328125" style="89"/>
    <col min="11" max="11" width="4.265625" style="89" customWidth="1"/>
    <col min="12" max="16384" width="9.1328125" style="89"/>
  </cols>
  <sheetData>
    <row r="1" spans="2:16" ht="21" customHeight="1">
      <c r="B1" s="113" t="s">
        <v>522</v>
      </c>
      <c r="C1" s="114"/>
      <c r="D1" s="114"/>
      <c r="E1" s="114"/>
      <c r="F1" s="114"/>
      <c r="G1" s="114"/>
      <c r="H1" s="115"/>
      <c r="I1" s="114"/>
      <c r="J1" s="114"/>
      <c r="K1" s="114"/>
      <c r="L1" s="114"/>
      <c r="M1" s="114"/>
      <c r="N1" s="114"/>
      <c r="O1" s="114"/>
    </row>
    <row r="2" spans="2:16" ht="18">
      <c r="B2" s="91" t="s">
        <v>351</v>
      </c>
      <c r="C2" s="36" t="s">
        <v>352</v>
      </c>
      <c r="H2" s="91" t="s">
        <v>353</v>
      </c>
      <c r="I2" s="36" t="s">
        <v>354</v>
      </c>
      <c r="O2" s="175" t="s">
        <v>578</v>
      </c>
      <c r="P2" s="175"/>
    </row>
    <row r="3" spans="2:16" ht="20.25" customHeight="1">
      <c r="C3" s="36" t="s">
        <v>355</v>
      </c>
    </row>
    <row r="4" spans="2:16">
      <c r="C4" s="110" t="s">
        <v>370</v>
      </c>
      <c r="D4" s="110" t="s">
        <v>371</v>
      </c>
      <c r="H4" s="59" t="s">
        <v>356</v>
      </c>
    </row>
    <row r="5" spans="2:16">
      <c r="C5" s="93">
        <f>AVERAGE(Table2[Weight])</f>
        <v>105.6875</v>
      </c>
      <c r="D5" s="108">
        <f>AVERAGE(D6:D22)</f>
        <v>130.25</v>
      </c>
    </row>
    <row r="6" spans="2:16" ht="16.5" customHeight="1">
      <c r="B6" s="94" t="s">
        <v>185</v>
      </c>
      <c r="C6" s="95" t="s">
        <v>357</v>
      </c>
      <c r="D6" s="95" t="s">
        <v>358</v>
      </c>
      <c r="E6" s="95" t="s">
        <v>359</v>
      </c>
      <c r="F6" s="95" t="s">
        <v>360</v>
      </c>
      <c r="H6" s="90">
        <v>1</v>
      </c>
      <c r="I6" s="96">
        <f ca="1">OFFSET(B$6,H6,,)</f>
        <v>40544</v>
      </c>
      <c r="J6" s="89">
        <f ca="1">VLOOKUP(I6,Table2[],2)</f>
        <v>20</v>
      </c>
      <c r="L6" s="61" t="s">
        <v>361</v>
      </c>
    </row>
    <row r="7" spans="2:16" ht="16.5" customHeight="1">
      <c r="B7" s="96">
        <v>40544</v>
      </c>
      <c r="C7" s="97">
        <v>20</v>
      </c>
      <c r="D7" s="97">
        <v>52</v>
      </c>
      <c r="E7" s="98">
        <v>12</v>
      </c>
      <c r="F7" s="98">
        <v>102</v>
      </c>
      <c r="H7" s="90">
        <f>H6+1</f>
        <v>2</v>
      </c>
      <c r="I7" s="96">
        <f t="shared" ref="I7:I11" ca="1" si="0">OFFSET(B$6,H7,,)</f>
        <v>40575</v>
      </c>
      <c r="J7" s="89">
        <f ca="1">IF(ISNA(VLOOKUP(I7,Table2[],2)),"",VLOOKUP(I7,Table2[],2))</f>
        <v>50</v>
      </c>
      <c r="L7" s="111"/>
    </row>
    <row r="8" spans="2:16" ht="16.5" customHeight="1">
      <c r="B8" s="99">
        <v>40575</v>
      </c>
      <c r="C8" s="100">
        <v>50</v>
      </c>
      <c r="D8" s="100">
        <v>63</v>
      </c>
      <c r="E8" s="101">
        <v>54</v>
      </c>
      <c r="F8" s="101">
        <v>150</v>
      </c>
      <c r="H8" s="90">
        <f t="shared" ref="H8:H11" si="1">H7+1</f>
        <v>3</v>
      </c>
      <c r="I8" s="96">
        <f t="shared" ca="1" si="0"/>
        <v>40603</v>
      </c>
      <c r="J8" s="89">
        <f ca="1">IF(ISNA(VLOOKUP(I8,Table2[],2)),"",VLOOKUP(I8,Table2[],2))</f>
        <v>60</v>
      </c>
      <c r="L8" s="61" t="s">
        <v>362</v>
      </c>
    </row>
    <row r="9" spans="2:16" ht="16.5" customHeight="1">
      <c r="B9" s="102">
        <v>40603</v>
      </c>
      <c r="C9" s="103">
        <v>60</v>
      </c>
      <c r="D9" s="103">
        <v>85</v>
      </c>
      <c r="E9" s="104">
        <v>15</v>
      </c>
      <c r="F9" s="104">
        <v>142</v>
      </c>
      <c r="H9" s="90">
        <f t="shared" si="1"/>
        <v>4</v>
      </c>
      <c r="I9" s="96">
        <f t="shared" ca="1" si="0"/>
        <v>40634</v>
      </c>
      <c r="J9" s="89">
        <f ca="1">IF(ISNA(VLOOKUP(I9,Table2[],2)),"",VLOOKUP(I9,Table2[],2))</f>
        <v>20</v>
      </c>
      <c r="L9" s="111" t="s">
        <v>363</v>
      </c>
    </row>
    <row r="10" spans="2:16" ht="16.5" customHeight="1">
      <c r="B10" s="105">
        <v>40634</v>
      </c>
      <c r="C10" s="106">
        <v>20</v>
      </c>
      <c r="D10" s="106">
        <v>69</v>
      </c>
      <c r="E10" s="107">
        <v>20</v>
      </c>
      <c r="F10" s="107">
        <v>133</v>
      </c>
      <c r="H10" s="90">
        <f t="shared" si="1"/>
        <v>5</v>
      </c>
      <c r="I10" s="96">
        <f t="shared" ca="1" si="0"/>
        <v>40664</v>
      </c>
      <c r="J10" s="89">
        <f ca="1">IF(ISNA(VLOOKUP(I10,Table2[],2)),"",VLOOKUP(I10,Table2[],2))</f>
        <v>25</v>
      </c>
      <c r="L10" s="36"/>
    </row>
    <row r="11" spans="2:16" ht="16.5" customHeight="1">
      <c r="B11" s="102">
        <v>40664</v>
      </c>
      <c r="C11" s="103">
        <v>25</v>
      </c>
      <c r="D11" s="103">
        <v>87</v>
      </c>
      <c r="E11" s="104">
        <v>25</v>
      </c>
      <c r="F11" s="104">
        <v>124</v>
      </c>
      <c r="H11" s="90">
        <f t="shared" si="1"/>
        <v>6</v>
      </c>
      <c r="I11" s="96">
        <f t="shared" ca="1" si="0"/>
        <v>40695</v>
      </c>
      <c r="J11" s="89">
        <f ca="1">IF(ISNA(VLOOKUP(I11,Table2[],2)),0,VLOOKUP(I11,Table2[],2))</f>
        <v>54</v>
      </c>
      <c r="L11" s="111" t="s">
        <v>364</v>
      </c>
    </row>
    <row r="12" spans="2:16" ht="16.5" customHeight="1">
      <c r="B12" s="105">
        <v>40695</v>
      </c>
      <c r="C12" s="106">
        <v>54</v>
      </c>
      <c r="D12" s="106">
        <v>54</v>
      </c>
      <c r="E12" s="107">
        <v>12</v>
      </c>
      <c r="F12" s="107">
        <v>115</v>
      </c>
      <c r="L12" s="109"/>
    </row>
    <row r="13" spans="2:16" ht="16.5" customHeight="1">
      <c r="B13" s="102">
        <v>40725</v>
      </c>
      <c r="C13" s="103">
        <v>25</v>
      </c>
      <c r="D13" s="103">
        <v>87</v>
      </c>
      <c r="E13" s="104">
        <v>15</v>
      </c>
      <c r="F13" s="104">
        <v>106</v>
      </c>
      <c r="L13" s="111" t="s">
        <v>365</v>
      </c>
    </row>
    <row r="14" spans="2:16" ht="16.5" customHeight="1">
      <c r="B14" s="105">
        <v>40756</v>
      </c>
      <c r="C14" s="106">
        <v>65</v>
      </c>
      <c r="D14" s="106">
        <v>48</v>
      </c>
      <c r="E14" s="107">
        <v>14</v>
      </c>
      <c r="F14" s="107">
        <v>105</v>
      </c>
    </row>
    <row r="15" spans="2:16" ht="16.5" customHeight="1">
      <c r="B15" s="102">
        <v>40787</v>
      </c>
      <c r="C15" s="103">
        <v>36</v>
      </c>
      <c r="D15" s="103">
        <v>96</v>
      </c>
      <c r="E15" s="104">
        <v>13</v>
      </c>
      <c r="F15" s="104">
        <v>122</v>
      </c>
      <c r="P15"/>
    </row>
    <row r="16" spans="2:16" ht="16.5" customHeight="1">
      <c r="B16" s="105">
        <v>40817</v>
      </c>
      <c r="C16" s="106">
        <v>22</v>
      </c>
      <c r="D16" s="106">
        <v>58</v>
      </c>
      <c r="E16" s="107">
        <v>16</v>
      </c>
      <c r="F16" s="107">
        <v>146</v>
      </c>
    </row>
    <row r="17" spans="2:6" ht="16.5" customHeight="1">
      <c r="B17" s="102">
        <v>40848</v>
      </c>
      <c r="C17" s="103">
        <v>12</v>
      </c>
      <c r="D17" s="103">
        <v>45</v>
      </c>
      <c r="E17" s="104">
        <v>18</v>
      </c>
      <c r="F17" s="104">
        <v>136</v>
      </c>
    </row>
    <row r="18" spans="2:6" ht="16.5" customHeight="1">
      <c r="B18" s="105">
        <v>40878</v>
      </c>
      <c r="C18" s="106">
        <v>47</v>
      </c>
      <c r="D18" s="106">
        <v>87</v>
      </c>
      <c r="E18" s="107">
        <v>14</v>
      </c>
      <c r="F18" s="107">
        <v>155</v>
      </c>
    </row>
    <row r="19" spans="2:6">
      <c r="B19" s="105">
        <v>40909</v>
      </c>
      <c r="C19" s="106">
        <v>44</v>
      </c>
      <c r="D19" s="106">
        <v>88</v>
      </c>
      <c r="E19" s="107">
        <v>16</v>
      </c>
      <c r="F19" s="107">
        <v>160</v>
      </c>
    </row>
    <row r="20" spans="2:6">
      <c r="B20" s="105">
        <v>40940</v>
      </c>
      <c r="C20" s="106">
        <v>55</v>
      </c>
      <c r="D20" s="106">
        <v>100</v>
      </c>
      <c r="E20" s="107">
        <v>20</v>
      </c>
      <c r="F20" s="107">
        <v>200</v>
      </c>
    </row>
    <row r="21" spans="2:6">
      <c r="B21" s="105">
        <v>40969</v>
      </c>
      <c r="C21" s="106">
        <v>45</v>
      </c>
      <c r="D21" s="106">
        <v>65</v>
      </c>
      <c r="E21" s="107">
        <v>88</v>
      </c>
      <c r="F21" s="107">
        <v>44</v>
      </c>
    </row>
    <row r="22" spans="2:6">
      <c r="B22" s="105">
        <v>41000</v>
      </c>
      <c r="C22" s="106">
        <v>1111</v>
      </c>
      <c r="D22" s="106">
        <v>1000</v>
      </c>
      <c r="E22" s="107"/>
      <c r="F22" s="107"/>
    </row>
    <row r="24" spans="2:6" ht="15.75">
      <c r="B24" s="112" t="s">
        <v>366</v>
      </c>
    </row>
    <row r="25" spans="2:6">
      <c r="B25" s="59" t="s">
        <v>367</v>
      </c>
    </row>
    <row r="26" spans="2:6">
      <c r="B26" s="59" t="s">
        <v>368</v>
      </c>
    </row>
    <row r="27" spans="2:6">
      <c r="B27" s="59" t="s">
        <v>369</v>
      </c>
    </row>
  </sheetData>
  <mergeCells count="1">
    <mergeCell ref="O2:P2"/>
  </mergeCells>
  <dataValidations count="1">
    <dataValidation type="list" allowBlank="1" showInputMessage="1" showErrorMessage="1" sqref="C25" xr:uid="{AB33B20F-DA8E-41DD-AF05-9C5A3C56541C}">
      <formula1>Offset_Range</formula1>
    </dataValidation>
  </dataValidations>
  <hyperlinks>
    <hyperlink ref="O2:P2" location="Front!C1" display="Front!C1" xr:uid="{E1E77E07-4D8C-4439-BA68-27D64143F299}"/>
  </hyperlinks>
  <pageMargins left="0.39370078740157483" right="0.39370078740157483" top="0.39370078740157483" bottom="0.39370078740157483" header="0.31496062992125984" footer="0.31496062992125984"/>
  <pageSetup paperSize="9" scale="74" orientation="landscape"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Scroll Bar 1">
              <controlPr defaultSize="0" autoPict="0">
                <anchor moveWithCells="1">
                  <from>
                    <xdr:col>7</xdr:col>
                    <xdr:colOff>19050</xdr:colOff>
                    <xdr:row>4</xdr:row>
                    <xdr:rowOff>9525</xdr:rowOff>
                  </from>
                  <to>
                    <xdr:col>10</xdr:col>
                    <xdr:colOff>80963</xdr:colOff>
                    <xdr:row>4</xdr:row>
                    <xdr:rowOff>171450</xdr:rowOff>
                  </to>
                </anchor>
              </controlPr>
            </control>
          </mc:Choice>
        </mc:AlternateContent>
      </controls>
    </mc:Choice>
  </mc:AlternateContent>
  <tableParts count="1">
    <tablePart r:id="rId5"/>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8ACF1-51D3-48B2-B612-465D29AA8166}">
  <dimension ref="B1:R62"/>
  <sheetViews>
    <sheetView zoomScaleNormal="100" workbookViewId="0">
      <selection activeCell="Q2" sqref="Q2:R2"/>
    </sheetView>
  </sheetViews>
  <sheetFormatPr defaultRowHeight="14.25"/>
  <cols>
    <col min="1" max="1" width="2.796875" customWidth="1"/>
    <col min="2" max="2" width="3.19921875" customWidth="1"/>
    <col min="3" max="3" width="8.265625" customWidth="1"/>
    <col min="4" max="4" width="7.53125" customWidth="1"/>
    <col min="5" max="5" width="3.1328125" customWidth="1"/>
  </cols>
  <sheetData>
    <row r="1" spans="2:18" ht="21">
      <c r="B1" s="152" t="s">
        <v>523</v>
      </c>
      <c r="C1" s="152"/>
      <c r="D1" s="152"/>
      <c r="E1" s="152"/>
      <c r="F1" s="152"/>
      <c r="G1" s="152"/>
      <c r="H1" s="152"/>
      <c r="I1" s="152"/>
      <c r="J1" s="152"/>
      <c r="K1" s="152"/>
      <c r="L1" s="152"/>
      <c r="M1" s="152"/>
      <c r="N1" s="152"/>
      <c r="O1" s="152"/>
      <c r="P1" s="152"/>
      <c r="Q1" s="152"/>
      <c r="R1" s="152"/>
    </row>
    <row r="2" spans="2:18" ht="17.25" customHeight="1">
      <c r="Q2" s="175" t="s">
        <v>578</v>
      </c>
      <c r="R2" s="175"/>
    </row>
    <row r="3" spans="2:18" ht="7.9" customHeight="1"/>
    <row r="4" spans="2:18">
      <c r="E4" t="s">
        <v>524</v>
      </c>
    </row>
    <row r="5" spans="2:18">
      <c r="E5" t="s">
        <v>525</v>
      </c>
    </row>
    <row r="7" spans="2:18">
      <c r="F7" s="12" t="s">
        <v>526</v>
      </c>
    </row>
    <row r="8" spans="2:18">
      <c r="C8" t="s">
        <v>527</v>
      </c>
      <c r="D8" t="s">
        <v>528</v>
      </c>
      <c r="F8" t="s">
        <v>529</v>
      </c>
    </row>
    <row r="9" spans="2:18">
      <c r="C9" s="116" t="s">
        <v>375</v>
      </c>
      <c r="D9" s="116">
        <v>4213</v>
      </c>
      <c r="F9" t="s">
        <v>530</v>
      </c>
      <c r="M9" t="s">
        <v>531</v>
      </c>
    </row>
    <row r="10" spans="2:18">
      <c r="C10" s="116" t="s">
        <v>378</v>
      </c>
      <c r="D10" s="116">
        <v>3194</v>
      </c>
      <c r="F10" t="s">
        <v>532</v>
      </c>
      <c r="G10" t="str" cm="1">
        <f t="array" aca="1" ref="G10:G14" ca="1">OFFSET(C8,1,0,COUNTA($C:$C)-1)</f>
        <v>January</v>
      </c>
      <c r="N10" cm="1">
        <f t="array" aca="1" ref="N10:N14" ca="1">OFFSET(D8,1,0,COUNTA($D:$D)-1)</f>
        <v>4213</v>
      </c>
    </row>
    <row r="11" spans="2:18">
      <c r="C11" s="116" t="s">
        <v>379</v>
      </c>
      <c r="D11" s="116">
        <v>2541</v>
      </c>
      <c r="G11" t="str">
        <f ca="1"/>
        <v>February</v>
      </c>
      <c r="N11">
        <f ca="1"/>
        <v>3194</v>
      </c>
    </row>
    <row r="12" spans="2:18">
      <c r="C12" s="116" t="s">
        <v>380</v>
      </c>
      <c r="D12" s="116">
        <v>1214</v>
      </c>
      <c r="G12" t="str">
        <f ca="1"/>
        <v>March</v>
      </c>
      <c r="N12">
        <f ca="1"/>
        <v>2541</v>
      </c>
    </row>
    <row r="13" spans="2:18">
      <c r="C13" t="s">
        <v>533</v>
      </c>
      <c r="D13">
        <v>2154</v>
      </c>
      <c r="G13" t="str">
        <f ca="1"/>
        <v>April</v>
      </c>
      <c r="N13">
        <f ca="1"/>
        <v>1214</v>
      </c>
    </row>
    <row r="14" spans="2:18">
      <c r="G14" t="str">
        <f ca="1"/>
        <v>May</v>
      </c>
      <c r="N14">
        <f ca="1"/>
        <v>2154</v>
      </c>
    </row>
    <row r="16" spans="2:18">
      <c r="F16" s="153" t="s">
        <v>534</v>
      </c>
    </row>
    <row r="18" spans="6:6">
      <c r="F18" s="12" t="s">
        <v>535</v>
      </c>
    </row>
    <row r="19" spans="6:6">
      <c r="F19" t="s">
        <v>536</v>
      </c>
    </row>
    <row r="20" spans="6:6">
      <c r="F20" t="s">
        <v>546</v>
      </c>
    </row>
    <row r="26" spans="6:6">
      <c r="F26" t="s">
        <v>537</v>
      </c>
    </row>
    <row r="27" spans="6:6">
      <c r="F27" t="s">
        <v>538</v>
      </c>
    </row>
    <row r="28" spans="6:6">
      <c r="F28" t="s">
        <v>547</v>
      </c>
    </row>
    <row r="29" spans="6:6">
      <c r="F29" t="s">
        <v>548</v>
      </c>
    </row>
    <row r="41" spans="6:16">
      <c r="F41" t="s">
        <v>539</v>
      </c>
    </row>
    <row r="42" spans="6:16">
      <c r="F42" t="s">
        <v>540</v>
      </c>
    </row>
    <row r="45" spans="6:16">
      <c r="F45" s="12" t="s">
        <v>541</v>
      </c>
    </row>
    <row r="46" spans="6:16">
      <c r="F46" t="s">
        <v>542</v>
      </c>
    </row>
    <row r="47" spans="6:16">
      <c r="F47" s="190" t="s">
        <v>656</v>
      </c>
      <c r="G47" s="190"/>
      <c r="H47" s="190"/>
      <c r="I47" s="190"/>
      <c r="J47" s="190"/>
      <c r="K47" s="190"/>
      <c r="L47" s="190"/>
      <c r="M47" s="190"/>
      <c r="N47" s="190"/>
      <c r="O47" s="190"/>
      <c r="P47" s="190"/>
    </row>
    <row r="48" spans="6:16">
      <c r="F48" s="190"/>
      <c r="G48" s="190"/>
      <c r="H48" s="190"/>
      <c r="I48" s="190"/>
      <c r="J48" s="190"/>
      <c r="K48" s="190"/>
      <c r="L48" s="190"/>
      <c r="M48" s="190"/>
      <c r="N48" s="190"/>
      <c r="O48" s="190"/>
      <c r="P48" s="190"/>
    </row>
    <row r="49" spans="6:13">
      <c r="F49" t="s">
        <v>549</v>
      </c>
    </row>
    <row r="50" spans="6:13">
      <c r="F50" t="s">
        <v>550</v>
      </c>
    </row>
    <row r="51" spans="6:13">
      <c r="F51" t="s">
        <v>657</v>
      </c>
    </row>
    <row r="52" spans="6:13">
      <c r="F52" t="s">
        <v>551</v>
      </c>
    </row>
    <row r="53" spans="6:13">
      <c r="M53" t="s">
        <v>552</v>
      </c>
    </row>
    <row r="55" spans="6:13">
      <c r="F55" t="s">
        <v>553</v>
      </c>
    </row>
    <row r="56" spans="6:13">
      <c r="F56" t="s">
        <v>543</v>
      </c>
    </row>
    <row r="57" spans="6:13">
      <c r="F57" t="s">
        <v>544</v>
      </c>
    </row>
    <row r="58" spans="6:13">
      <c r="F58" t="s">
        <v>554</v>
      </c>
    </row>
    <row r="62" spans="6:13">
      <c r="F62" t="s">
        <v>545</v>
      </c>
    </row>
  </sheetData>
  <mergeCells count="2">
    <mergeCell ref="F47:P48"/>
    <mergeCell ref="Q2:R2"/>
  </mergeCells>
  <hyperlinks>
    <hyperlink ref="Q2:R2" location="Front!C1" display="Front!C1" xr:uid="{92B2CBF2-175D-4BB2-BD88-518049640BC2}"/>
  </hyperlinks>
  <pageMargins left="0.39370078740157483" right="0.39370078740157483" top="0.39370078740157483" bottom="0.39370078740157483" header="0.31496062992125984" footer="0.31496062992125984"/>
  <pageSetup paperSize="9" scale="93" fitToHeight="2" orientation="landscape" r:id="rId1"/>
  <rowBreaks count="2" manualBreakCount="2">
    <brk id="25" min="1" max="18" man="1"/>
    <brk id="61" min="1" max="18"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17A78-6B8A-46EF-9D42-D4F7A0DA66F2}">
  <sheetPr>
    <pageSetUpPr fitToPage="1"/>
  </sheetPr>
  <dimension ref="A1:R37"/>
  <sheetViews>
    <sheetView workbookViewId="0">
      <selection activeCell="Q2" sqref="Q2:R2"/>
    </sheetView>
  </sheetViews>
  <sheetFormatPr defaultRowHeight="14.25"/>
  <cols>
    <col min="3" max="4" width="3.265625" customWidth="1"/>
    <col min="6" max="7" width="11.1328125" customWidth="1"/>
  </cols>
  <sheetData>
    <row r="1" spans="1:18" ht="21.75" customHeight="1">
      <c r="A1" t="s">
        <v>372</v>
      </c>
      <c r="B1" t="s">
        <v>373</v>
      </c>
      <c r="E1" s="156" t="s">
        <v>374</v>
      </c>
      <c r="F1" s="119"/>
      <c r="G1" s="119"/>
      <c r="H1" s="119"/>
      <c r="I1" s="119"/>
      <c r="J1" s="119"/>
      <c r="K1" s="119"/>
      <c r="L1" s="119"/>
      <c r="M1" s="119"/>
      <c r="N1" s="119"/>
      <c r="O1" s="119"/>
      <c r="P1" s="119"/>
      <c r="Q1" s="119"/>
      <c r="R1" s="119"/>
    </row>
    <row r="2" spans="1:18" ht="18">
      <c r="A2" s="116" t="s">
        <v>375</v>
      </c>
      <c r="B2" s="116">
        <v>4213</v>
      </c>
      <c r="E2" s="116"/>
      <c r="F2" s="117" t="s">
        <v>376</v>
      </c>
      <c r="G2" s="117" t="s">
        <v>377</v>
      </c>
      <c r="Q2" s="175" t="s">
        <v>578</v>
      </c>
      <c r="R2" s="175"/>
    </row>
    <row r="3" spans="1:18">
      <c r="A3" s="116" t="s">
        <v>378</v>
      </c>
      <c r="B3" s="116">
        <v>3194</v>
      </c>
      <c r="E3" s="116" t="s">
        <v>375</v>
      </c>
      <c r="F3" s="118">
        <f ca="1">OFFSET('Chart &amp; changing values'!$B$1,MATCH($E$3,'Chart &amp; changing values'!$A:$A,0)-1,0,MATCH($E$4,'Chart &amp; changing values'!$A:$A,0)-MATCH($E$3,'Chart &amp; changing values'!$A:$A,0)+1)</f>
        <v>3194</v>
      </c>
      <c r="G3" s="118" t="str">
        <f ca="1">OFFSET('Chart &amp; changing values'!$A$1,MATCH($E$3,'Chart &amp; changing values'!$A:$A,0)-1,0,MATCH($E$4,'Chart &amp; changing values'!$A:$A,0)-MATCH($E$3,'Chart &amp; changing values'!$A:$A,0)+1)</f>
        <v>February</v>
      </c>
    </row>
    <row r="4" spans="1:18">
      <c r="A4" s="116" t="s">
        <v>379</v>
      </c>
      <c r="B4" s="116">
        <v>2541</v>
      </c>
      <c r="E4" s="116" t="s">
        <v>379</v>
      </c>
      <c r="F4" s="116"/>
      <c r="G4" s="116"/>
    </row>
    <row r="5" spans="1:18">
      <c r="A5" s="116" t="s">
        <v>380</v>
      </c>
      <c r="B5" s="116">
        <v>1214</v>
      </c>
      <c r="E5" s="155" t="s">
        <v>561</v>
      </c>
    </row>
    <row r="6" spans="1:18">
      <c r="A6" s="154" t="s">
        <v>533</v>
      </c>
      <c r="B6" s="154">
        <v>2525</v>
      </c>
      <c r="E6" t="s">
        <v>381</v>
      </c>
    </row>
    <row r="7" spans="1:18">
      <c r="E7" t="s">
        <v>556</v>
      </c>
    </row>
    <row r="9" spans="1:18">
      <c r="E9" t="s">
        <v>560</v>
      </c>
    </row>
    <row r="12" spans="1:18">
      <c r="E12" s="12" t="s">
        <v>562</v>
      </c>
    </row>
    <row r="13" spans="1:18" ht="29.65" customHeight="1">
      <c r="E13" s="190" t="s">
        <v>557</v>
      </c>
      <c r="F13" s="190"/>
      <c r="G13" s="190"/>
      <c r="H13" s="190"/>
      <c r="I13" s="190"/>
      <c r="J13" s="190"/>
      <c r="K13" s="190"/>
      <c r="L13" s="190"/>
      <c r="M13" s="190"/>
      <c r="N13" s="190"/>
      <c r="O13" s="190"/>
      <c r="P13" s="190"/>
      <c r="Q13" s="190"/>
      <c r="R13" s="190"/>
    </row>
    <row r="14" spans="1:18" ht="29.65" customHeight="1">
      <c r="E14" s="190" t="s">
        <v>558</v>
      </c>
      <c r="F14" s="190"/>
      <c r="G14" s="190"/>
      <c r="H14" s="190"/>
      <c r="I14" s="190"/>
      <c r="J14" s="190"/>
      <c r="K14" s="190"/>
      <c r="L14" s="190"/>
      <c r="M14" s="190"/>
      <c r="N14" s="190"/>
      <c r="O14" s="190"/>
      <c r="P14" s="190"/>
      <c r="Q14" s="190"/>
      <c r="R14" s="190"/>
    </row>
    <row r="15" spans="1:18" ht="31.15" customHeight="1">
      <c r="E15" s="190" t="s">
        <v>559</v>
      </c>
      <c r="F15" s="190"/>
      <c r="G15" s="190"/>
      <c r="H15" s="190"/>
      <c r="I15" s="190"/>
      <c r="J15" s="190"/>
      <c r="K15" s="190"/>
      <c r="L15" s="190"/>
      <c r="M15" s="190"/>
      <c r="N15" s="190"/>
      <c r="O15" s="190"/>
      <c r="P15" s="190"/>
      <c r="Q15" s="190"/>
      <c r="R15" s="190"/>
    </row>
    <row r="16" spans="1:18">
      <c r="E16" t="s">
        <v>555</v>
      </c>
    </row>
    <row r="18" spans="5:15">
      <c r="E18" s="12" t="s">
        <v>563</v>
      </c>
    </row>
    <row r="19" spans="5:15">
      <c r="E19" s="17" t="s">
        <v>564</v>
      </c>
    </row>
    <row r="20" spans="5:15">
      <c r="E20" t="s">
        <v>565</v>
      </c>
    </row>
    <row r="21" spans="5:15">
      <c r="E21" s="12"/>
    </row>
    <row r="22" spans="5:15">
      <c r="E22" t="s">
        <v>542</v>
      </c>
    </row>
    <row r="23" spans="5:15">
      <c r="E23" s="190" t="s">
        <v>566</v>
      </c>
      <c r="F23" s="190"/>
      <c r="G23" s="190"/>
      <c r="H23" s="190"/>
      <c r="I23" s="190"/>
      <c r="J23" s="190"/>
      <c r="K23" s="190"/>
      <c r="L23" s="190"/>
      <c r="M23" s="190"/>
      <c r="N23" s="190"/>
      <c r="O23" s="190"/>
    </row>
    <row r="24" spans="5:15">
      <c r="E24" s="190"/>
      <c r="F24" s="190"/>
      <c r="G24" s="190"/>
      <c r="H24" s="190"/>
      <c r="I24" s="190"/>
      <c r="J24" s="190"/>
      <c r="K24" s="190"/>
      <c r="L24" s="190"/>
      <c r="M24" s="190"/>
      <c r="N24" s="190"/>
      <c r="O24" s="190"/>
    </row>
    <row r="25" spans="5:15">
      <c r="E25" t="s">
        <v>549</v>
      </c>
    </row>
    <row r="26" spans="5:15">
      <c r="E26" t="s">
        <v>567</v>
      </c>
    </row>
    <row r="27" spans="5:15">
      <c r="E27" t="s">
        <v>568</v>
      </c>
    </row>
    <row r="28" spans="5:15">
      <c r="L28" t="s">
        <v>552</v>
      </c>
    </row>
    <row r="30" spans="5:15">
      <c r="E30" t="s">
        <v>553</v>
      </c>
    </row>
    <row r="31" spans="5:15">
      <c r="E31" t="s">
        <v>569</v>
      </c>
    </row>
    <row r="32" spans="5:15">
      <c r="E32" t="s">
        <v>544</v>
      </c>
    </row>
    <row r="33" spans="5:15">
      <c r="E33" t="s">
        <v>554</v>
      </c>
    </row>
    <row r="37" spans="5:15" ht="30.4" customHeight="1">
      <c r="E37" s="190" t="s">
        <v>570</v>
      </c>
      <c r="F37" s="190"/>
      <c r="G37" s="190"/>
      <c r="H37" s="190"/>
      <c r="I37" s="190"/>
      <c r="J37" s="190"/>
      <c r="K37" s="190"/>
      <c r="L37" s="190"/>
      <c r="M37" s="190"/>
      <c r="N37" s="190"/>
      <c r="O37" s="190"/>
    </row>
  </sheetData>
  <mergeCells count="6">
    <mergeCell ref="E37:O37"/>
    <mergeCell ref="Q2:R2"/>
    <mergeCell ref="E13:R13"/>
    <mergeCell ref="E14:R14"/>
    <mergeCell ref="E15:R15"/>
    <mergeCell ref="E23:O24"/>
  </mergeCells>
  <dataValidations count="1">
    <dataValidation type="list" allowBlank="1" showInputMessage="1" showErrorMessage="1" sqref="E3:E4" xr:uid="{881C0240-4D9B-4C07-8B8E-C09B058F6BF1}">
      <formula1>OFFSET($A$1,1,0,COUNTA($A:$A)-1)</formula1>
    </dataValidation>
  </dataValidations>
  <hyperlinks>
    <hyperlink ref="Q2:R2" location="Front!C1" display="Front!C1" xr:uid="{BF775A3B-F099-40FA-8FD7-BB8E26C7C3D9}"/>
  </hyperlinks>
  <pageMargins left="0.39370078740157483" right="0.39370078740157483" top="0.39370078740157483" bottom="0.39370078740157483" header="0.31496062992125984" footer="0.31496062992125984"/>
  <pageSetup paperSize="9" scale="91" fitToHeight="3" orientation="landscape"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71FF9-23AD-4CA9-A60E-3C94F428C187}">
  <sheetPr>
    <pageSetUpPr fitToPage="1"/>
  </sheetPr>
  <dimension ref="A1:P22"/>
  <sheetViews>
    <sheetView showGridLines="0" workbookViewId="0">
      <selection activeCell="O2" sqref="O2:P2"/>
    </sheetView>
  </sheetViews>
  <sheetFormatPr defaultRowHeight="14.25"/>
  <cols>
    <col min="1" max="1" width="4.265625" customWidth="1"/>
    <col min="5" max="5" width="9.59765625" customWidth="1"/>
  </cols>
  <sheetData>
    <row r="1" spans="1:16" ht="18">
      <c r="A1" s="114"/>
      <c r="B1" s="174" t="s">
        <v>487</v>
      </c>
      <c r="C1" s="174"/>
      <c r="D1" s="174"/>
      <c r="E1" s="174"/>
      <c r="F1" s="174"/>
      <c r="G1" s="174"/>
      <c r="H1" s="174"/>
      <c r="I1" s="174"/>
      <c r="J1" s="174"/>
      <c r="K1" s="174"/>
      <c r="L1" s="174"/>
      <c r="M1" s="174"/>
      <c r="N1" s="174"/>
    </row>
    <row r="2" spans="1:16" ht="18">
      <c r="L2" s="140" t="s">
        <v>514</v>
      </c>
      <c r="O2" s="175" t="s">
        <v>578</v>
      </c>
      <c r="P2" s="175"/>
    </row>
    <row r="3" spans="1:16">
      <c r="B3" t="s">
        <v>481</v>
      </c>
    </row>
    <row r="5" spans="1:16">
      <c r="A5" s="139"/>
      <c r="B5" s="140" t="s">
        <v>484</v>
      </c>
      <c r="F5" t="s">
        <v>482</v>
      </c>
    </row>
    <row r="7" spans="1:16">
      <c r="B7" t="s">
        <v>512</v>
      </c>
      <c r="E7" t="s">
        <v>513</v>
      </c>
    </row>
    <row r="11" spans="1:16">
      <c r="B11" s="140" t="s">
        <v>485</v>
      </c>
      <c r="D11" s="139"/>
    </row>
    <row r="21" spans="2:2">
      <c r="B21" s="140" t="s">
        <v>486</v>
      </c>
    </row>
    <row r="22" spans="2:2">
      <c r="B22" t="s">
        <v>483</v>
      </c>
    </row>
  </sheetData>
  <mergeCells count="2">
    <mergeCell ref="B1:N1"/>
    <mergeCell ref="O2:P2"/>
  </mergeCells>
  <hyperlinks>
    <hyperlink ref="O2:P2" location="Front!C1" display="Front!C1" xr:uid="{EBEE8512-0D1D-42E4-AEA5-781DEC6546D4}"/>
  </hyperlinks>
  <pageMargins left="0.39370078740157483" right="0.39370078740157483" top="0.39370078740157483" bottom="0.39370078740157483" header="0.31496062992125984" footer="0.31496062992125984"/>
  <pageSetup paperSize="9" scale="7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88D83-91A9-4A2D-8D84-9761713C00D8}">
  <dimension ref="A1:U232"/>
  <sheetViews>
    <sheetView zoomScaleNormal="100" workbookViewId="0">
      <selection activeCell="N2" sqref="N2:O2"/>
    </sheetView>
  </sheetViews>
  <sheetFormatPr defaultRowHeight="14.25"/>
  <cols>
    <col min="1" max="1" width="6.46484375" customWidth="1"/>
    <col min="3" max="3" width="9.796875" customWidth="1"/>
    <col min="6" max="6" width="9.46484375" customWidth="1"/>
  </cols>
  <sheetData>
    <row r="1" spans="2:15" ht="18">
      <c r="B1" s="113" t="s">
        <v>141</v>
      </c>
      <c r="C1" s="114"/>
      <c r="D1" s="114"/>
      <c r="E1" s="114"/>
      <c r="F1" s="114"/>
      <c r="G1" s="114"/>
      <c r="H1" s="115"/>
      <c r="I1" s="114"/>
      <c r="J1" s="114"/>
      <c r="K1" s="114"/>
      <c r="L1" s="114"/>
      <c r="M1" s="114"/>
      <c r="N1" s="114"/>
      <c r="O1" s="114"/>
    </row>
    <row r="2" spans="2:15" ht="18">
      <c r="N2" s="175" t="s">
        <v>578</v>
      </c>
      <c r="O2" s="175"/>
    </row>
    <row r="3" spans="2:15" ht="15.75">
      <c r="B3" s="58" t="s">
        <v>580</v>
      </c>
    </row>
    <row r="4" spans="2:15">
      <c r="D4" s="32" t="s">
        <v>127</v>
      </c>
    </row>
    <row r="5" spans="2:15">
      <c r="B5" s="13" t="s">
        <v>142</v>
      </c>
      <c r="D5" s="8">
        <f>ABS(E5)</f>
        <v>7</v>
      </c>
      <c r="E5">
        <v>-7</v>
      </c>
    </row>
    <row r="8" spans="2:15" ht="15.75">
      <c r="B8" s="58" t="s">
        <v>143</v>
      </c>
    </row>
    <row r="9" spans="2:15">
      <c r="B9" s="178" t="s">
        <v>144</v>
      </c>
      <c r="C9" s="178"/>
      <c r="D9" s="178"/>
      <c r="E9" s="178"/>
      <c r="F9" s="178"/>
      <c r="G9" s="178"/>
      <c r="H9" s="178"/>
      <c r="I9" s="178"/>
      <c r="J9" s="178"/>
      <c r="K9" s="178"/>
      <c r="L9" s="178"/>
    </row>
    <row r="10" spans="2:15">
      <c r="D10" s="32" t="s">
        <v>127</v>
      </c>
    </row>
    <row r="11" spans="2:15">
      <c r="B11" s="13" t="s">
        <v>145</v>
      </c>
      <c r="D11" s="8">
        <f>SIGN(E11)</f>
        <v>-1</v>
      </c>
      <c r="E11">
        <v>-12</v>
      </c>
    </row>
    <row r="14" spans="2:15">
      <c r="B14" s="12" t="s">
        <v>146</v>
      </c>
    </row>
    <row r="15" spans="2:15">
      <c r="B15" s="178" t="s">
        <v>147</v>
      </c>
      <c r="C15" s="178"/>
      <c r="D15" s="178"/>
      <c r="E15" s="178"/>
      <c r="F15" s="178"/>
      <c r="G15" s="178"/>
      <c r="H15" s="178"/>
      <c r="I15" s="178"/>
      <c r="J15" s="178"/>
      <c r="K15" s="178"/>
      <c r="L15" s="178"/>
    </row>
    <row r="16" spans="2:15">
      <c r="B16" s="178" t="s">
        <v>148</v>
      </c>
      <c r="C16" s="178"/>
      <c r="D16" s="178"/>
      <c r="E16" s="178"/>
      <c r="F16" s="178"/>
      <c r="G16" s="178"/>
      <c r="H16" s="178"/>
      <c r="I16" s="178"/>
      <c r="J16" s="178"/>
      <c r="K16" s="178"/>
      <c r="L16" s="178"/>
    </row>
    <row r="17" spans="2:12">
      <c r="B17" s="178" t="s">
        <v>152</v>
      </c>
      <c r="C17" s="178"/>
      <c r="D17" s="178"/>
      <c r="E17" s="178"/>
      <c r="F17" s="178"/>
      <c r="G17" s="178"/>
      <c r="H17" s="178"/>
      <c r="I17" s="178"/>
      <c r="J17" s="178"/>
      <c r="K17" s="178"/>
      <c r="L17" s="178"/>
    </row>
    <row r="18" spans="2:12">
      <c r="D18" s="32" t="s">
        <v>127</v>
      </c>
    </row>
    <row r="19" spans="2:12">
      <c r="B19" s="13" t="s">
        <v>149</v>
      </c>
      <c r="D19" s="8">
        <f>ROUNDUP(E19,1)</f>
        <v>10.299999999999999</v>
      </c>
      <c r="E19">
        <v>10.236000000000001</v>
      </c>
    </row>
    <row r="20" spans="2:12">
      <c r="D20" s="8"/>
    </row>
    <row r="21" spans="2:12">
      <c r="B21" s="13" t="s">
        <v>150</v>
      </c>
      <c r="D21" s="8">
        <f>ROUNDUP(E21,0)</f>
        <v>35</v>
      </c>
      <c r="E21">
        <v>34.236499999999999</v>
      </c>
    </row>
    <row r="22" spans="2:12">
      <c r="D22" s="8"/>
    </row>
    <row r="23" spans="2:12">
      <c r="B23" s="13" t="s">
        <v>151</v>
      </c>
      <c r="D23" s="136">
        <f>ROUNDUP(E23,-4)</f>
        <v>360000</v>
      </c>
      <c r="E23">
        <v>352563</v>
      </c>
    </row>
    <row r="26" spans="2:12" ht="15.75">
      <c r="B26" s="58" t="s">
        <v>153</v>
      </c>
    </row>
    <row r="27" spans="2:12">
      <c r="B27" s="178" t="s">
        <v>154</v>
      </c>
      <c r="C27" s="178"/>
      <c r="D27" s="178"/>
      <c r="E27" s="178"/>
      <c r="F27" s="178"/>
      <c r="G27" s="178"/>
      <c r="H27" s="178"/>
      <c r="I27" s="178"/>
      <c r="J27" s="178"/>
      <c r="K27" s="178"/>
      <c r="L27" s="178"/>
    </row>
    <row r="28" spans="2:12">
      <c r="B28" s="178"/>
      <c r="C28" s="178"/>
      <c r="D28" s="178"/>
      <c r="E28" s="178"/>
      <c r="F28" s="178"/>
      <c r="G28" s="178"/>
      <c r="H28" s="178"/>
      <c r="I28" s="178"/>
      <c r="J28" s="178"/>
      <c r="K28" s="178"/>
      <c r="L28" s="178"/>
    </row>
    <row r="29" spans="2:12">
      <c r="B29" s="178"/>
      <c r="C29" s="178"/>
      <c r="D29" s="178"/>
      <c r="E29" s="178"/>
      <c r="F29" s="178"/>
      <c r="G29" s="178"/>
      <c r="H29" s="178"/>
      <c r="I29" s="178"/>
      <c r="J29" s="178"/>
      <c r="K29" s="178"/>
      <c r="L29" s="178"/>
    </row>
    <row r="30" spans="2:12" ht="15.75">
      <c r="B30" s="183" t="s">
        <v>155</v>
      </c>
      <c r="C30" s="184"/>
      <c r="D30" s="184"/>
      <c r="E30" s="184"/>
      <c r="F30" s="184"/>
      <c r="G30" s="184"/>
      <c r="H30" s="184"/>
      <c r="I30" s="184"/>
      <c r="J30" s="184"/>
      <c r="K30" s="184"/>
      <c r="L30" s="184"/>
    </row>
    <row r="31" spans="2:12">
      <c r="B31" s="179" t="s">
        <v>156</v>
      </c>
      <c r="C31" s="178"/>
      <c r="D31" s="178"/>
      <c r="E31" s="178"/>
      <c r="F31" s="178"/>
      <c r="G31" s="178"/>
      <c r="H31" s="178"/>
      <c r="I31" s="178"/>
      <c r="J31" s="178"/>
      <c r="K31" s="178"/>
      <c r="L31" s="178"/>
    </row>
    <row r="32" spans="2:12" ht="28.5" customHeight="1">
      <c r="B32" s="176" t="s">
        <v>157</v>
      </c>
      <c r="C32" s="177"/>
      <c r="D32" s="177"/>
      <c r="E32" s="177"/>
      <c r="F32" s="177"/>
      <c r="G32" s="177"/>
      <c r="H32" s="177"/>
      <c r="I32" s="177"/>
      <c r="J32" s="177"/>
      <c r="K32" s="177"/>
      <c r="L32" s="177"/>
    </row>
    <row r="33" spans="2:17">
      <c r="B33" s="178" t="s">
        <v>158</v>
      </c>
      <c r="C33" s="178"/>
      <c r="D33" s="178"/>
      <c r="E33" s="178"/>
      <c r="F33" s="178"/>
      <c r="G33" s="178"/>
      <c r="H33" s="178"/>
      <c r="I33" s="178"/>
      <c r="J33" s="178"/>
      <c r="K33" s="178"/>
      <c r="L33" s="178"/>
    </row>
    <row r="34" spans="2:17">
      <c r="E34" s="32" t="s">
        <v>127</v>
      </c>
    </row>
    <row r="35" spans="2:17">
      <c r="B35" s="13" t="s">
        <v>159</v>
      </c>
      <c r="E35" s="8">
        <f ca="1">RANDBETWEEN(G35,G36)</f>
        <v>251</v>
      </c>
      <c r="G35">
        <v>1</v>
      </c>
      <c r="N35" s="180"/>
      <c r="O35" s="180"/>
      <c r="P35" s="180"/>
      <c r="Q35" s="180"/>
    </row>
    <row r="36" spans="2:17">
      <c r="G36">
        <v>500</v>
      </c>
    </row>
    <row r="39" spans="2:17" ht="15.75">
      <c r="B39" s="181" t="s">
        <v>160</v>
      </c>
      <c r="C39" s="181"/>
      <c r="D39" s="181"/>
    </row>
    <row r="40" spans="2:17">
      <c r="B40" s="182" t="s">
        <v>161</v>
      </c>
      <c r="C40" s="182"/>
      <c r="D40" s="182"/>
    </row>
    <row r="41" spans="2:17" ht="15.75">
      <c r="B41" s="34"/>
    </row>
    <row r="42" spans="2:17" ht="15.75">
      <c r="B42" s="34"/>
    </row>
    <row r="43" spans="2:17" ht="15.75">
      <c r="B43" s="34"/>
    </row>
    <row r="45" spans="2:17">
      <c r="B45" s="176" t="s">
        <v>162</v>
      </c>
      <c r="C45" s="176"/>
      <c r="D45" s="176"/>
      <c r="E45" s="176"/>
      <c r="F45" s="176"/>
      <c r="G45" s="176"/>
      <c r="H45" s="176"/>
      <c r="I45" s="36"/>
      <c r="J45" s="36"/>
      <c r="K45" s="36"/>
      <c r="L45" s="36"/>
    </row>
    <row r="46" spans="2:17">
      <c r="B46" s="176"/>
      <c r="C46" s="176"/>
      <c r="D46" s="176"/>
      <c r="E46" s="176"/>
      <c r="F46" s="176"/>
      <c r="G46" s="176"/>
      <c r="H46" s="176"/>
      <c r="I46" s="33"/>
      <c r="J46" s="33"/>
      <c r="K46" s="33"/>
      <c r="L46" s="33"/>
    </row>
    <row r="48" spans="2:17">
      <c r="D48" t="s">
        <v>163</v>
      </c>
    </row>
    <row r="49" spans="2:21">
      <c r="D49" t="s">
        <v>164</v>
      </c>
    </row>
    <row r="50" spans="2:21">
      <c r="K50" s="35"/>
      <c r="L50" s="36"/>
      <c r="M50" s="36"/>
      <c r="N50" s="36"/>
      <c r="O50" s="36"/>
      <c r="P50" s="36"/>
      <c r="Q50" s="36"/>
      <c r="R50" s="36"/>
      <c r="S50" s="36"/>
      <c r="T50" s="36"/>
      <c r="U50" s="36"/>
    </row>
    <row r="53" spans="2:21" ht="15.75">
      <c r="B53" s="58" t="s">
        <v>454</v>
      </c>
    </row>
    <row r="54" spans="2:21" ht="18.399999999999999" customHeight="1">
      <c r="B54" t="s">
        <v>456</v>
      </c>
    </row>
    <row r="55" spans="2:21" ht="18.399999999999999" customHeight="1">
      <c r="B55" t="s">
        <v>455</v>
      </c>
    </row>
    <row r="56" spans="2:21" ht="18.399999999999999" customHeight="1">
      <c r="B56" t="s">
        <v>457</v>
      </c>
    </row>
    <row r="57" spans="2:21" ht="18.399999999999999" customHeight="1">
      <c r="B57" t="s">
        <v>458</v>
      </c>
    </row>
    <row r="58" spans="2:21" ht="18.399999999999999" customHeight="1">
      <c r="B58" s="13" t="s">
        <v>459</v>
      </c>
    </row>
    <row r="59" spans="2:21" ht="18.399999999999999" customHeight="1">
      <c r="B59" t="s">
        <v>579</v>
      </c>
    </row>
    <row r="61" spans="2:21">
      <c r="B61" t="s">
        <v>36</v>
      </c>
      <c r="C61">
        <v>23</v>
      </c>
      <c r="D61" s="137" t="str">
        <f>REPT("|",C61)</f>
        <v>|||||||||||||||||||||||</v>
      </c>
    </row>
    <row r="62" spans="2:21">
      <c r="B62" t="s">
        <v>245</v>
      </c>
      <c r="C62">
        <v>56</v>
      </c>
      <c r="D62" s="137" t="str">
        <f t="shared" ref="D62:D65" si="0">REPT("|",C62)</f>
        <v>||||||||||||||||||||||||||||||||||||||||||||||||||||||||</v>
      </c>
    </row>
    <row r="63" spans="2:21">
      <c r="B63" t="s">
        <v>38</v>
      </c>
      <c r="C63">
        <v>14</v>
      </c>
      <c r="D63" s="137" t="str">
        <f t="shared" si="0"/>
        <v>||||||||||||||</v>
      </c>
    </row>
    <row r="64" spans="2:21">
      <c r="B64" t="s">
        <v>246</v>
      </c>
      <c r="C64">
        <v>58</v>
      </c>
      <c r="D64" s="137" t="str">
        <f t="shared" si="0"/>
        <v>||||||||||||||||||||||||||||||||||||||||||||||||||||||||||</v>
      </c>
    </row>
    <row r="65" spans="2:4">
      <c r="B65" t="s">
        <v>453</v>
      </c>
      <c r="C65">
        <v>98</v>
      </c>
      <c r="D65" s="137" t="str">
        <f t="shared" si="0"/>
        <v>||||||||||||||||||||||||||||||||||||||||||||||||||||||||||||||||||||||||||||||||||||||||||||||||||</v>
      </c>
    </row>
    <row r="68" spans="2:4" ht="15.75">
      <c r="B68" t="s">
        <v>165</v>
      </c>
    </row>
    <row r="69" spans="2:4">
      <c r="B69" t="s">
        <v>460</v>
      </c>
    </row>
    <row r="70" spans="2:4">
      <c r="B70" t="s">
        <v>461</v>
      </c>
    </row>
    <row r="72" spans="2:4">
      <c r="B72" t="s">
        <v>166</v>
      </c>
    </row>
    <row r="79" spans="2:4">
      <c r="B79" t="s">
        <v>167</v>
      </c>
    </row>
    <row r="80" spans="2:4">
      <c r="B80" t="s">
        <v>168</v>
      </c>
    </row>
    <row r="81" spans="2:9">
      <c r="B81" t="s">
        <v>169</v>
      </c>
    </row>
    <row r="82" spans="2:9">
      <c r="B82" t="s">
        <v>170</v>
      </c>
    </row>
    <row r="89" spans="2:9">
      <c r="B89" t="s">
        <v>171</v>
      </c>
      <c r="F89" s="180">
        <v>63</v>
      </c>
      <c r="G89" s="180"/>
      <c r="H89" s="180"/>
      <c r="I89" s="180"/>
    </row>
    <row r="90" spans="2:9">
      <c r="B90" t="s">
        <v>462</v>
      </c>
    </row>
    <row r="93" spans="2:9" ht="15.75">
      <c r="B93" s="58" t="s">
        <v>237</v>
      </c>
    </row>
    <row r="94" spans="2:9">
      <c r="B94" t="s">
        <v>238</v>
      </c>
    </row>
    <row r="95" spans="2:9">
      <c r="E95" s="52" t="s">
        <v>127</v>
      </c>
      <c r="H95" s="150">
        <v>6</v>
      </c>
    </row>
    <row r="96" spans="2:9">
      <c r="B96" s="13" t="s">
        <v>239</v>
      </c>
      <c r="E96" t="s">
        <v>240</v>
      </c>
      <c r="H96" s="147">
        <v>2</v>
      </c>
    </row>
    <row r="97" spans="2:8">
      <c r="H97" s="147">
        <v>4</v>
      </c>
    </row>
    <row r="98" spans="2:8">
      <c r="H98" s="147">
        <v>5</v>
      </c>
    </row>
    <row r="99" spans="2:8">
      <c r="H99" s="147">
        <v>15</v>
      </c>
    </row>
    <row r="100" spans="2:8">
      <c r="H100" s="147">
        <v>2</v>
      </c>
    </row>
    <row r="101" spans="2:8">
      <c r="H101" s="151">
        <v>3</v>
      </c>
    </row>
    <row r="103" spans="2:8" ht="15.75">
      <c r="B103" s="58" t="s">
        <v>241</v>
      </c>
    </row>
    <row r="104" spans="2:8">
      <c r="B104" t="s">
        <v>243</v>
      </c>
      <c r="G104" s="13" t="s">
        <v>242</v>
      </c>
    </row>
    <row r="105" spans="2:8">
      <c r="B105" t="s">
        <v>244</v>
      </c>
    </row>
    <row r="107" spans="2:8">
      <c r="B107" t="s">
        <v>247</v>
      </c>
      <c r="F107" s="144" t="s">
        <v>36</v>
      </c>
      <c r="G107" s="144"/>
    </row>
    <row r="108" spans="2:8">
      <c r="B108" t="s">
        <v>248</v>
      </c>
      <c r="F108" s="145" t="s">
        <v>36</v>
      </c>
      <c r="G108" s="148" t="str">
        <f>IF(EXACT(F108,F107),"Remove")</f>
        <v>Remove</v>
      </c>
    </row>
    <row r="109" spans="2:8">
      <c r="B109" t="s">
        <v>249</v>
      </c>
      <c r="F109" s="145" t="s">
        <v>36</v>
      </c>
      <c r="G109" s="148" t="str">
        <f t="shared" ref="G109:G117" si="1">IF(EXACT(F109,F108),"Remove")</f>
        <v>Remove</v>
      </c>
    </row>
    <row r="110" spans="2:8">
      <c r="B110" t="s">
        <v>250</v>
      </c>
      <c r="F110" s="145" t="s">
        <v>38</v>
      </c>
      <c r="G110" s="148" t="b">
        <f t="shared" si="1"/>
        <v>0</v>
      </c>
    </row>
    <row r="111" spans="2:8">
      <c r="B111" t="s">
        <v>251</v>
      </c>
      <c r="F111" s="145" t="s">
        <v>38</v>
      </c>
      <c r="G111" s="148" t="str">
        <f t="shared" si="1"/>
        <v>Remove</v>
      </c>
    </row>
    <row r="112" spans="2:8">
      <c r="B112" t="s">
        <v>252</v>
      </c>
      <c r="F112" s="145" t="s">
        <v>245</v>
      </c>
      <c r="G112" s="148" t="b">
        <f t="shared" si="1"/>
        <v>0</v>
      </c>
    </row>
    <row r="113" spans="1:7">
      <c r="F113" s="145" t="s">
        <v>245</v>
      </c>
      <c r="G113" s="148" t="str">
        <f t="shared" si="1"/>
        <v>Remove</v>
      </c>
    </row>
    <row r="114" spans="1:7">
      <c r="F114" s="145" t="s">
        <v>245</v>
      </c>
      <c r="G114" s="148" t="str">
        <f t="shared" si="1"/>
        <v>Remove</v>
      </c>
    </row>
    <row r="115" spans="1:7">
      <c r="F115" s="145" t="s">
        <v>245</v>
      </c>
      <c r="G115" s="148" t="str">
        <f t="shared" si="1"/>
        <v>Remove</v>
      </c>
    </row>
    <row r="116" spans="1:7">
      <c r="F116" s="145" t="s">
        <v>246</v>
      </c>
      <c r="G116" s="148" t="b">
        <f t="shared" si="1"/>
        <v>0</v>
      </c>
    </row>
    <row r="117" spans="1:7">
      <c r="F117" s="146" t="s">
        <v>246</v>
      </c>
      <c r="G117" s="149" t="str">
        <f t="shared" si="1"/>
        <v>Remove</v>
      </c>
    </row>
    <row r="119" spans="1:7" ht="15.75">
      <c r="B119" s="58" t="s">
        <v>253</v>
      </c>
    </row>
    <row r="120" spans="1:7">
      <c r="B120" t="s">
        <v>254</v>
      </c>
    </row>
    <row r="122" spans="1:7">
      <c r="A122" t="s">
        <v>256</v>
      </c>
      <c r="B122" s="13" t="s">
        <v>259</v>
      </c>
      <c r="D122" s="23" t="s">
        <v>255</v>
      </c>
      <c r="F122" s="52" t="s">
        <v>127</v>
      </c>
    </row>
    <row r="123" spans="1:7">
      <c r="A123" t="s">
        <v>257</v>
      </c>
      <c r="B123" s="13" t="s">
        <v>260</v>
      </c>
      <c r="F123" t="str">
        <f>UPPER(D122)</f>
        <v>THE CHICKENS ARE LOOSE</v>
      </c>
    </row>
    <row r="124" spans="1:7">
      <c r="A124" t="s">
        <v>258</v>
      </c>
      <c r="B124" s="13" t="s">
        <v>261</v>
      </c>
      <c r="F124" t="str">
        <f>LOWER(D122)</f>
        <v>the chickens are loose</v>
      </c>
    </row>
    <row r="125" spans="1:7">
      <c r="F125" t="str">
        <f>PROPER(D122)</f>
        <v>The Chickens Are Loose</v>
      </c>
    </row>
    <row r="127" spans="1:7" ht="15.75">
      <c r="B127" t="s">
        <v>269</v>
      </c>
    </row>
    <row r="128" spans="1:7">
      <c r="B128" t="s">
        <v>268</v>
      </c>
    </row>
    <row r="129" spans="2:8">
      <c r="B129" s="13" t="s">
        <v>267</v>
      </c>
    </row>
    <row r="130" spans="2:8">
      <c r="F130" s="52" t="s">
        <v>127</v>
      </c>
    </row>
    <row r="131" spans="2:8">
      <c r="B131" s="13" t="s">
        <v>266</v>
      </c>
      <c r="F131" t="str">
        <f>MID(H131,FIND(":",H131)+2,100)</f>
        <v>3165</v>
      </c>
      <c r="H131" s="144" t="s">
        <v>262</v>
      </c>
    </row>
    <row r="132" spans="2:8">
      <c r="H132" s="145" t="s">
        <v>263</v>
      </c>
    </row>
    <row r="133" spans="2:8">
      <c r="H133" s="145" t="s">
        <v>264</v>
      </c>
    </row>
    <row r="134" spans="2:8">
      <c r="H134" s="145" t="s">
        <v>265</v>
      </c>
    </row>
    <row r="135" spans="2:8">
      <c r="F135" s="52" t="s">
        <v>127</v>
      </c>
      <c r="H135" s="145"/>
    </row>
    <row r="136" spans="2:8">
      <c r="B136" s="13" t="s">
        <v>276</v>
      </c>
      <c r="F136" t="str">
        <f>MID(H136,FIND(",",H136)+2,FIND("3",H136)-3-FIND(",",H136))</f>
        <v>degree</v>
      </c>
      <c r="H136" s="145" t="s">
        <v>275</v>
      </c>
    </row>
    <row r="137" spans="2:8">
      <c r="F137" t="str">
        <f>MID(H137,FIND(",",H137)+2,FIND("3",H137)-3-FIND(",",H137))</f>
        <v>certificate</v>
      </c>
      <c r="H137" s="145" t="s">
        <v>272</v>
      </c>
    </row>
    <row r="138" spans="2:8">
      <c r="F138" t="str">
        <f>MID(H138,FIND(",",H138)+2,FIND("3",H138)-3-FIND(",",H138))</f>
        <v>higher schooling</v>
      </c>
      <c r="H138" s="145" t="s">
        <v>273</v>
      </c>
    </row>
    <row r="139" spans="2:8">
      <c r="F139" t="str">
        <f>MID(H139,FIND(",",H139)+2,FIND("3",H139)-3-FIND(",",H139))</f>
        <v>PhD</v>
      </c>
      <c r="H139" s="146" t="s">
        <v>274</v>
      </c>
    </row>
    <row r="141" spans="2:8">
      <c r="B141" t="s">
        <v>270</v>
      </c>
    </row>
    <row r="142" spans="2:8">
      <c r="B142" s="13" t="s">
        <v>271</v>
      </c>
    </row>
    <row r="145" spans="2:11" ht="15.75">
      <c r="B145" s="58" t="s">
        <v>277</v>
      </c>
    </row>
    <row r="146" spans="2:11">
      <c r="B146" s="178" t="s">
        <v>280</v>
      </c>
      <c r="C146" s="178"/>
      <c r="D146" s="178"/>
      <c r="E146" s="178"/>
      <c r="F146" s="178"/>
      <c r="G146" s="178"/>
      <c r="H146" s="178"/>
      <c r="I146" s="178"/>
      <c r="J146" s="178"/>
      <c r="K146" s="178"/>
    </row>
    <row r="147" spans="2:11">
      <c r="B147" s="178" t="s">
        <v>278</v>
      </c>
      <c r="C147" s="178"/>
      <c r="D147" s="178"/>
      <c r="E147" s="178"/>
      <c r="F147" s="178"/>
      <c r="G147" s="178"/>
      <c r="H147" s="178"/>
      <c r="I147" s="178"/>
      <c r="J147" s="178"/>
      <c r="K147" s="178"/>
    </row>
    <row r="148" spans="2:11">
      <c r="B148" s="178" t="s">
        <v>279</v>
      </c>
      <c r="C148" s="178"/>
      <c r="D148" s="178"/>
      <c r="E148" s="178"/>
      <c r="F148" s="178"/>
      <c r="G148" s="178"/>
      <c r="H148" s="178"/>
      <c r="I148" s="178"/>
      <c r="J148" s="178"/>
      <c r="K148" s="178"/>
    </row>
    <row r="149" spans="2:11">
      <c r="E149" s="52" t="s">
        <v>127</v>
      </c>
    </row>
    <row r="150" spans="2:11">
      <c r="B150" s="13" t="s">
        <v>282</v>
      </c>
      <c r="E150">
        <f>LEN(G150)</f>
        <v>28</v>
      </c>
      <c r="G150" t="s">
        <v>281</v>
      </c>
    </row>
    <row r="151" spans="2:11">
      <c r="B151" s="13"/>
    </row>
    <row r="152" spans="2:11">
      <c r="B152" s="13" t="s">
        <v>306</v>
      </c>
    </row>
    <row r="153" spans="2:11">
      <c r="B153" s="13"/>
      <c r="H153" s="52" t="s">
        <v>127</v>
      </c>
    </row>
    <row r="154" spans="2:11">
      <c r="B154" s="13" t="s">
        <v>308</v>
      </c>
      <c r="H154" t="str">
        <f>MID(J154,FIND(",",J154)+2,LEN(J154)-FIND(",",J154)-6)</f>
        <v>East Bentleigh</v>
      </c>
      <c r="J154" t="s">
        <v>307</v>
      </c>
    </row>
    <row r="156" spans="2:11" ht="15.75">
      <c r="B156" s="58" t="s">
        <v>283</v>
      </c>
    </row>
    <row r="157" spans="2:11">
      <c r="B157" s="178" t="s">
        <v>284</v>
      </c>
      <c r="C157" s="178"/>
      <c r="D157" s="178"/>
      <c r="E157" s="178"/>
      <c r="F157" s="178"/>
      <c r="G157" s="178"/>
      <c r="H157" s="178"/>
      <c r="I157" s="178"/>
      <c r="J157" s="178"/>
      <c r="K157" s="178"/>
    </row>
    <row r="158" spans="2:11">
      <c r="B158" s="178" t="s">
        <v>285</v>
      </c>
      <c r="C158" s="178"/>
      <c r="D158" s="178"/>
      <c r="E158" s="178"/>
      <c r="F158" s="178"/>
      <c r="G158" s="178"/>
      <c r="H158" s="178"/>
      <c r="I158" s="178"/>
      <c r="J158" s="178"/>
      <c r="K158" s="178"/>
    </row>
    <row r="159" spans="2:11">
      <c r="B159" s="36" t="s">
        <v>286</v>
      </c>
      <c r="C159" s="36"/>
      <c r="D159" s="36" t="s">
        <v>287</v>
      </c>
      <c r="E159" s="36"/>
      <c r="F159" s="36"/>
      <c r="G159" s="36"/>
      <c r="H159" s="36"/>
      <c r="I159" s="36"/>
      <c r="J159" s="36"/>
      <c r="K159" s="36"/>
    </row>
    <row r="160" spans="2:11">
      <c r="C160" s="36"/>
      <c r="D160" s="36"/>
      <c r="E160" s="52" t="s">
        <v>127</v>
      </c>
      <c r="F160" s="36"/>
      <c r="G160" s="36"/>
      <c r="H160" s="36"/>
      <c r="I160" s="36"/>
      <c r="J160" s="36"/>
      <c r="K160" s="36"/>
    </row>
    <row r="161" spans="2:11">
      <c r="B161" s="13" t="s">
        <v>293</v>
      </c>
      <c r="E161">
        <f>ROWS(G161:G163)</f>
        <v>3</v>
      </c>
      <c r="G161" s="144" t="s">
        <v>288</v>
      </c>
      <c r="H161" s="144" t="s">
        <v>289</v>
      </c>
      <c r="I161" s="144">
        <v>12</v>
      </c>
    </row>
    <row r="162" spans="2:11">
      <c r="B162" s="13" t="s">
        <v>294</v>
      </c>
      <c r="E162">
        <f>COLUMNS(G161:I163)</f>
        <v>3</v>
      </c>
      <c r="G162" s="145" t="s">
        <v>290</v>
      </c>
      <c r="H162" s="145" t="s">
        <v>108</v>
      </c>
      <c r="I162" s="145">
        <v>25</v>
      </c>
    </row>
    <row r="163" spans="2:11">
      <c r="G163" s="146" t="s">
        <v>291</v>
      </c>
      <c r="H163" s="146" t="s">
        <v>292</v>
      </c>
      <c r="I163" s="146">
        <v>21</v>
      </c>
    </row>
    <row r="165" spans="2:11" ht="15.75">
      <c r="B165" s="58" t="s">
        <v>295</v>
      </c>
    </row>
    <row r="166" spans="2:11">
      <c r="B166" s="178" t="s">
        <v>296</v>
      </c>
      <c r="C166" s="178"/>
      <c r="D166" s="178"/>
      <c r="E166" s="178"/>
      <c r="F166" s="178"/>
      <c r="G166" s="178"/>
      <c r="H166" s="178"/>
      <c r="I166" s="178"/>
      <c r="J166" s="178"/>
      <c r="K166" s="178"/>
    </row>
    <row r="167" spans="2:11">
      <c r="B167" s="178" t="s">
        <v>297</v>
      </c>
      <c r="C167" s="178"/>
      <c r="D167" s="178"/>
      <c r="E167" s="178"/>
      <c r="F167" s="178"/>
      <c r="G167" s="178"/>
      <c r="H167" s="178"/>
      <c r="I167" s="178"/>
      <c r="J167" s="178"/>
      <c r="K167" s="178"/>
    </row>
    <row r="168" spans="2:11">
      <c r="E168" s="52" t="s">
        <v>127</v>
      </c>
    </row>
    <row r="169" spans="2:11">
      <c r="B169" s="13" t="s">
        <v>299</v>
      </c>
      <c r="E169">
        <f>ROW(G169)</f>
        <v>169</v>
      </c>
    </row>
    <row r="170" spans="2:11">
      <c r="B170" s="13" t="s">
        <v>298</v>
      </c>
      <c r="E170">
        <f>COLUMN(G170)</f>
        <v>7</v>
      </c>
    </row>
    <row r="173" spans="2:11" ht="15.75">
      <c r="B173" s="58" t="s">
        <v>616</v>
      </c>
    </row>
    <row r="174" spans="2:11">
      <c r="B174" s="178" t="s">
        <v>303</v>
      </c>
      <c r="C174" s="178"/>
      <c r="D174" s="178"/>
      <c r="E174" s="178"/>
      <c r="F174" s="178"/>
      <c r="G174" s="178"/>
      <c r="H174" s="178"/>
      <c r="I174" s="178"/>
      <c r="J174" s="178"/>
      <c r="K174" s="178"/>
    </row>
    <row r="175" spans="2:11" ht="27.75" customHeight="1">
      <c r="B175" s="177" t="s">
        <v>300</v>
      </c>
      <c r="C175" s="177"/>
      <c r="D175" s="177"/>
      <c r="E175" s="177"/>
      <c r="F175" s="177"/>
      <c r="G175" s="177"/>
      <c r="H175" s="177"/>
      <c r="I175" s="177"/>
      <c r="J175" s="177"/>
      <c r="K175" s="177"/>
    </row>
    <row r="176" spans="2:11">
      <c r="B176" s="179" t="s">
        <v>304</v>
      </c>
      <c r="C176" s="178"/>
      <c r="D176" s="178"/>
      <c r="E176" s="178"/>
      <c r="F176" s="178"/>
      <c r="G176" s="178"/>
      <c r="H176" s="178"/>
      <c r="I176" s="178"/>
      <c r="J176" s="178"/>
      <c r="K176" s="178"/>
    </row>
    <row r="177" spans="2:11">
      <c r="B177" s="178" t="s">
        <v>301</v>
      </c>
      <c r="C177" s="178"/>
      <c r="D177" s="178"/>
      <c r="E177" s="178"/>
      <c r="F177" s="178"/>
      <c r="G177" s="178"/>
      <c r="H177" s="178"/>
      <c r="I177" s="178"/>
      <c r="J177" s="178"/>
      <c r="K177" s="178"/>
    </row>
    <row r="178" spans="2:11">
      <c r="B178" s="178" t="s">
        <v>302</v>
      </c>
      <c r="C178" s="178"/>
      <c r="D178" s="178"/>
      <c r="E178" s="178"/>
      <c r="F178" s="178"/>
      <c r="G178" s="178"/>
      <c r="H178" s="178"/>
      <c r="I178" s="178"/>
      <c r="J178" s="178"/>
      <c r="K178" s="178"/>
    </row>
    <row r="179" spans="2:11">
      <c r="E179" s="52" t="s">
        <v>127</v>
      </c>
    </row>
    <row r="180" spans="2:11">
      <c r="B180" s="13" t="s">
        <v>305</v>
      </c>
      <c r="E180">
        <f>FIND("eese",G180)</f>
        <v>3</v>
      </c>
      <c r="G180" s="144" t="s">
        <v>288</v>
      </c>
      <c r="H180" s="144" t="s">
        <v>289</v>
      </c>
      <c r="I180" s="144">
        <v>12</v>
      </c>
    </row>
    <row r="184" spans="2:11" ht="15.75">
      <c r="B184" s="58" t="s">
        <v>309</v>
      </c>
    </row>
    <row r="185" spans="2:11">
      <c r="B185" t="s">
        <v>310</v>
      </c>
    </row>
    <row r="186" spans="2:11">
      <c r="F186" s="52" t="s">
        <v>127</v>
      </c>
    </row>
    <row r="187" spans="2:11">
      <c r="B187" t="s">
        <v>312</v>
      </c>
      <c r="F187" t="str">
        <f>IF(OR(H187="Milk",I187="Dairy"),"OK","")</f>
        <v>OK</v>
      </c>
      <c r="H187" s="145" t="s">
        <v>311</v>
      </c>
      <c r="I187" s="145" t="s">
        <v>289</v>
      </c>
      <c r="J187" s="145">
        <v>25</v>
      </c>
    </row>
    <row r="191" spans="2:11" ht="15.75">
      <c r="B191" s="58" t="s">
        <v>443</v>
      </c>
    </row>
    <row r="192" spans="2:11">
      <c r="B192" t="s">
        <v>444</v>
      </c>
    </row>
    <row r="193" spans="2:7">
      <c r="B193" s="13" t="s">
        <v>445</v>
      </c>
    </row>
    <row r="194" spans="2:7">
      <c r="D194" s="52" t="s">
        <v>127</v>
      </c>
      <c r="G194" s="144">
        <v>5</v>
      </c>
    </row>
    <row r="195" spans="2:7">
      <c r="B195" s="13" t="s">
        <v>446</v>
      </c>
      <c r="D195" s="136">
        <f>MAX(G194:G200)</f>
        <v>9</v>
      </c>
      <c r="G195" s="145">
        <v>6</v>
      </c>
    </row>
    <row r="196" spans="2:7">
      <c r="D196" s="136"/>
      <c r="G196" s="145">
        <v>9</v>
      </c>
    </row>
    <row r="197" spans="2:7">
      <c r="B197" s="13" t="s">
        <v>447</v>
      </c>
      <c r="D197" s="29">
        <f>MIN(G194:G200)</f>
        <v>1</v>
      </c>
      <c r="G197" s="145">
        <v>8</v>
      </c>
    </row>
    <row r="198" spans="2:7">
      <c r="G198" s="145">
        <v>2</v>
      </c>
    </row>
    <row r="199" spans="2:7">
      <c r="G199" s="145">
        <v>1</v>
      </c>
    </row>
    <row r="200" spans="2:7">
      <c r="G200" s="146">
        <v>4</v>
      </c>
    </row>
    <row r="202" spans="2:7" ht="15.75">
      <c r="B202" s="58" t="s">
        <v>448</v>
      </c>
    </row>
    <row r="203" spans="2:7">
      <c r="B203" t="s">
        <v>450</v>
      </c>
      <c r="G203" s="144">
        <v>5</v>
      </c>
    </row>
    <row r="204" spans="2:7">
      <c r="B204" s="13" t="s">
        <v>449</v>
      </c>
      <c r="G204" s="145">
        <v>6</v>
      </c>
    </row>
    <row r="205" spans="2:7">
      <c r="D205" s="52" t="s">
        <v>127</v>
      </c>
      <c r="G205" s="145">
        <v>9</v>
      </c>
    </row>
    <row r="206" spans="2:7">
      <c r="B206" s="13" t="s">
        <v>451</v>
      </c>
      <c r="D206" s="136">
        <f>SMALL(G203:G209,3)</f>
        <v>4</v>
      </c>
      <c r="G206" s="145">
        <v>8</v>
      </c>
    </row>
    <row r="207" spans="2:7">
      <c r="D207" s="136"/>
      <c r="G207" s="145">
        <v>2</v>
      </c>
    </row>
    <row r="208" spans="2:7">
      <c r="B208" s="13" t="s">
        <v>452</v>
      </c>
      <c r="D208" s="136">
        <f>LARGE(G203:G209,2)</f>
        <v>8</v>
      </c>
      <c r="G208" s="145">
        <v>1</v>
      </c>
    </row>
    <row r="209" spans="2:11">
      <c r="D209" s="136"/>
      <c r="G209" s="146">
        <v>4</v>
      </c>
    </row>
    <row r="212" spans="2:11">
      <c r="B212" s="12" t="s">
        <v>515</v>
      </c>
    </row>
    <row r="213" spans="2:11">
      <c r="B213" t="s">
        <v>516</v>
      </c>
      <c r="J213" s="144">
        <v>1</v>
      </c>
    </row>
    <row r="214" spans="2:11">
      <c r="E214" s="52" t="s">
        <v>127</v>
      </c>
      <c r="J214" s="145">
        <v>2</v>
      </c>
    </row>
    <row r="215" spans="2:11">
      <c r="B215" t="s">
        <v>517</v>
      </c>
      <c r="D215" s="143" t="s">
        <v>520</v>
      </c>
      <c r="E215" t="b">
        <f>ISBLANK(D215)</f>
        <v>0</v>
      </c>
      <c r="H215">
        <v>2</v>
      </c>
      <c r="I215">
        <v>0</v>
      </c>
      <c r="J215" s="145" t="e">
        <f>H215/I215</f>
        <v>#DIV/0!</v>
      </c>
    </row>
    <row r="216" spans="2:11">
      <c r="B216" t="s">
        <v>518</v>
      </c>
      <c r="D216" s="143">
        <v>12</v>
      </c>
      <c r="E216" t="b">
        <f>ISNUMBER(D216)</f>
        <v>1</v>
      </c>
      <c r="J216" s="145">
        <v>0</v>
      </c>
    </row>
    <row r="217" spans="2:11">
      <c r="J217" s="145"/>
    </row>
    <row r="218" spans="2:11">
      <c r="E218" s="52" t="s">
        <v>127</v>
      </c>
      <c r="J218" s="146">
        <v>3</v>
      </c>
    </row>
    <row r="219" spans="2:11">
      <c r="B219" t="s">
        <v>519</v>
      </c>
    </row>
    <row r="220" spans="2:11">
      <c r="B220" t="s">
        <v>521</v>
      </c>
      <c r="D220" s="15"/>
      <c r="E220" s="138">
        <f>IF(ISBLANK(D220),0,"")</f>
        <v>0</v>
      </c>
    </row>
    <row r="223" spans="2:11">
      <c r="B223" s="12" t="s">
        <v>615</v>
      </c>
    </row>
    <row r="224" spans="2:11">
      <c r="B224" s="185" t="s">
        <v>614</v>
      </c>
      <c r="C224" s="185"/>
      <c r="D224" s="185"/>
      <c r="E224" s="185"/>
      <c r="F224" s="185"/>
      <c r="G224" s="185"/>
      <c r="H224" s="185"/>
      <c r="I224" s="185"/>
      <c r="J224" s="185"/>
      <c r="K224" s="185"/>
    </row>
    <row r="225" spans="2:12">
      <c r="B225" s="182" t="s">
        <v>605</v>
      </c>
      <c r="C225" s="182"/>
      <c r="D225" s="182"/>
      <c r="E225" s="182"/>
      <c r="F225" s="182"/>
      <c r="G225" s="182"/>
      <c r="H225" s="182" t="s">
        <v>606</v>
      </c>
      <c r="I225" s="182"/>
      <c r="J225" s="182"/>
      <c r="K225" s="182"/>
      <c r="L225" s="182"/>
    </row>
    <row r="226" spans="2:12">
      <c r="H226" s="182" t="s">
        <v>607</v>
      </c>
      <c r="I226" s="182"/>
      <c r="J226" s="182"/>
      <c r="K226" s="182"/>
      <c r="L226" s="182"/>
    </row>
    <row r="227" spans="2:12">
      <c r="H227" s="182" t="s">
        <v>608</v>
      </c>
      <c r="I227" s="182"/>
      <c r="J227" s="182"/>
      <c r="K227" s="182"/>
      <c r="L227" s="182"/>
    </row>
    <row r="228" spans="2:12">
      <c r="H228" s="182" t="s">
        <v>609</v>
      </c>
      <c r="I228" s="182"/>
      <c r="J228" s="182"/>
      <c r="K228" s="182"/>
      <c r="L228" s="182"/>
    </row>
    <row r="229" spans="2:12">
      <c r="B229" s="185" t="s">
        <v>610</v>
      </c>
      <c r="C229" s="185"/>
      <c r="D229" s="185"/>
      <c r="E229" s="185"/>
      <c r="F229" s="185"/>
      <c r="G229" s="185"/>
      <c r="H229" s="185"/>
      <c r="I229" s="185"/>
      <c r="J229" s="185"/>
      <c r="K229" s="185"/>
    </row>
    <row r="230" spans="2:12">
      <c r="B230" s="185" t="s">
        <v>611</v>
      </c>
      <c r="C230" s="185"/>
      <c r="D230" s="185"/>
      <c r="E230" s="185"/>
      <c r="F230" s="185"/>
      <c r="G230" s="185"/>
      <c r="H230" s="185"/>
      <c r="I230" s="185"/>
      <c r="J230" s="185"/>
      <c r="K230" s="185"/>
    </row>
    <row r="231" spans="2:12">
      <c r="B231" s="185" t="s">
        <v>612</v>
      </c>
      <c r="C231" s="185"/>
      <c r="D231" s="185"/>
      <c r="E231" s="185"/>
      <c r="F231" s="185"/>
      <c r="G231" s="185"/>
      <c r="H231" s="185"/>
      <c r="I231" s="185"/>
      <c r="J231" s="185"/>
      <c r="K231" s="185"/>
    </row>
    <row r="232" spans="2:12">
      <c r="B232" s="185" t="s">
        <v>613</v>
      </c>
      <c r="C232" s="185"/>
      <c r="D232" s="185"/>
      <c r="E232" s="185"/>
      <c r="F232" s="185"/>
      <c r="G232" s="185"/>
      <c r="H232" s="185"/>
      <c r="I232" s="185"/>
      <c r="J232" s="185"/>
      <c r="K232" s="185"/>
    </row>
  </sheetData>
  <mergeCells count="39">
    <mergeCell ref="B229:K229"/>
    <mergeCell ref="B230:K230"/>
    <mergeCell ref="B231:K231"/>
    <mergeCell ref="B232:K232"/>
    <mergeCell ref="B224:K224"/>
    <mergeCell ref="B225:G225"/>
    <mergeCell ref="H225:L225"/>
    <mergeCell ref="H226:L226"/>
    <mergeCell ref="H228:L228"/>
    <mergeCell ref="H227:L227"/>
    <mergeCell ref="N2:O2"/>
    <mergeCell ref="B174:K174"/>
    <mergeCell ref="B175:K175"/>
    <mergeCell ref="B176:K176"/>
    <mergeCell ref="B177:K177"/>
    <mergeCell ref="N35:Q35"/>
    <mergeCell ref="F89:I89"/>
    <mergeCell ref="B146:K146"/>
    <mergeCell ref="B147:K147"/>
    <mergeCell ref="B148:K148"/>
    <mergeCell ref="B39:D39"/>
    <mergeCell ref="B40:D40"/>
    <mergeCell ref="B45:H46"/>
    <mergeCell ref="B29:L29"/>
    <mergeCell ref="B30:L30"/>
    <mergeCell ref="B31:L31"/>
    <mergeCell ref="B178:K178"/>
    <mergeCell ref="B157:K157"/>
    <mergeCell ref="B158:K158"/>
    <mergeCell ref="B166:K166"/>
    <mergeCell ref="B167:K167"/>
    <mergeCell ref="B32:L32"/>
    <mergeCell ref="B33:L33"/>
    <mergeCell ref="B28:L28"/>
    <mergeCell ref="B9:L9"/>
    <mergeCell ref="B15:L15"/>
    <mergeCell ref="B16:L16"/>
    <mergeCell ref="B17:L17"/>
    <mergeCell ref="B27:L27"/>
  </mergeCells>
  <conditionalFormatting sqref="N35:Q35">
    <cfRule type="dataBar" priority="10">
      <dataBar>
        <cfvo type="min"/>
        <cfvo type="max"/>
        <color rgb="FF638EC6"/>
      </dataBar>
      <extLst>
        <ext xmlns:x14="http://schemas.microsoft.com/office/spreadsheetml/2009/9/main" uri="{B025F937-C7B1-47D3-B67F-A62EFF666E3E}">
          <x14:id>{EA134030-498E-42D8-A008-29E3D4A11EF0}</x14:id>
        </ext>
      </extLst>
    </cfRule>
  </conditionalFormatting>
  <conditionalFormatting sqref="F89:I89">
    <cfRule type="dataBar" priority="5">
      <dataBar>
        <cfvo type="num" val="0"/>
        <cfvo type="num" val="100"/>
        <color rgb="FF638EC6"/>
      </dataBar>
      <extLst>
        <ext xmlns:x14="http://schemas.microsoft.com/office/spreadsheetml/2009/9/main" uri="{B025F937-C7B1-47D3-B67F-A62EFF666E3E}">
          <x14:id>{E0ABAB39-F0D4-4B52-ACBA-5E4F5BDE6C29}</x14:id>
        </ext>
      </extLst>
    </cfRule>
    <cfRule type="dataBar" priority="7">
      <dataBar>
        <cfvo type="num" val="0"/>
        <cfvo type="num" val="100"/>
        <color rgb="FF638EC6"/>
      </dataBar>
      <extLst>
        <ext xmlns:x14="http://schemas.microsoft.com/office/spreadsheetml/2009/9/main" uri="{B025F937-C7B1-47D3-B67F-A62EFF666E3E}">
          <x14:id>{C0C348A7-4828-4203-8CE7-7B305CAB1696}</x14:id>
        </ext>
      </extLst>
    </cfRule>
    <cfRule type="dataBar" priority="8">
      <dataBar>
        <cfvo type="num" val="0"/>
        <cfvo type="num" val="&quot;100+$M$54&quot;"/>
        <color rgb="FF638EC6"/>
      </dataBar>
      <extLst>
        <ext xmlns:x14="http://schemas.microsoft.com/office/spreadsheetml/2009/9/main" uri="{B025F937-C7B1-47D3-B67F-A62EFF666E3E}">
          <x14:id>{5B633FE1-7FDE-402E-B0BF-1D1C1FD09505}</x14:id>
        </ext>
      </extLst>
    </cfRule>
    <cfRule type="dataBar" priority="9">
      <dataBar>
        <cfvo type="min"/>
        <cfvo type="max"/>
        <color rgb="FF638EC6"/>
      </dataBar>
      <extLst>
        <ext xmlns:x14="http://schemas.microsoft.com/office/spreadsheetml/2009/9/main" uri="{B025F937-C7B1-47D3-B67F-A62EFF666E3E}">
          <x14:id>{BAC97603-B53C-457A-806E-AA47FC5943DA}</x14:id>
        </ext>
      </extLst>
    </cfRule>
  </conditionalFormatting>
  <conditionalFormatting sqref="L76">
    <cfRule type="dataBar" priority="6">
      <dataBar>
        <cfvo type="min"/>
        <cfvo type="max"/>
        <color rgb="FF638EC6"/>
      </dataBar>
      <extLst>
        <ext xmlns:x14="http://schemas.microsoft.com/office/spreadsheetml/2009/9/main" uri="{B025F937-C7B1-47D3-B67F-A62EFF666E3E}">
          <x14:id>{EB5A1A79-49FD-42B1-B678-D98867B710BD}</x14:id>
        </ext>
      </extLst>
    </cfRule>
  </conditionalFormatting>
  <hyperlinks>
    <hyperlink ref="N2:O2" location="Front!C1" display="Front!C1" xr:uid="{B9A5E466-BCAA-4C32-A308-F729EC3B2C98}"/>
  </hyperlinks>
  <pageMargins left="0.39370078740157483" right="0.39370078740157483" top="0.39370078740157483" bottom="0.39370078740157483" header="0.31496062992125984" footer="0.31496062992125984"/>
  <pageSetup paperSize="9" scale="86" fitToHeight="8" orientation="portrait" r:id="rId1"/>
  <rowBreaks count="3" manualBreakCount="3">
    <brk id="52" min="1" max="12" man="1"/>
    <brk id="102" min="1" max="12" man="1"/>
    <brk id="222" min="1" max="12" man="1"/>
  </rowBreaks>
  <drawing r:id="rId2"/>
  <extLst>
    <ext xmlns:x14="http://schemas.microsoft.com/office/spreadsheetml/2009/9/main" uri="{78C0D931-6437-407d-A8EE-F0AAD7539E65}">
      <x14:conditionalFormattings>
        <x14:conditionalFormatting xmlns:xm="http://schemas.microsoft.com/office/excel/2006/main">
          <x14:cfRule type="dataBar" id="{EA134030-498E-42D8-A008-29E3D4A11EF0}">
            <x14:dataBar minLength="0" maxLength="100" gradient="0">
              <x14:cfvo type="autoMin"/>
              <x14:cfvo type="autoMax"/>
              <x14:negativeFillColor rgb="FFFF0000"/>
              <x14:axisColor rgb="FF000000"/>
            </x14:dataBar>
          </x14:cfRule>
          <xm:sqref>N35:Q35</xm:sqref>
        </x14:conditionalFormatting>
        <x14:conditionalFormatting xmlns:xm="http://schemas.microsoft.com/office/excel/2006/main">
          <x14:cfRule type="dataBar" id="{E0ABAB39-F0D4-4B52-ACBA-5E4F5BDE6C29}">
            <x14:dataBar minLength="0" maxLength="100" gradient="0">
              <x14:cfvo type="num">
                <xm:f>0</xm:f>
              </x14:cfvo>
              <x14:cfvo type="num">
                <xm:f>100</xm:f>
              </x14:cfvo>
              <x14:negativeFillColor rgb="FFFF0000"/>
              <x14:axisColor rgb="FF000000"/>
            </x14:dataBar>
          </x14:cfRule>
          <x14:cfRule type="dataBar" id="{C0C348A7-4828-4203-8CE7-7B305CAB1696}">
            <x14:dataBar minLength="0" maxLength="100" gradient="0">
              <x14:cfvo type="num">
                <xm:f>0</xm:f>
              </x14:cfvo>
              <x14:cfvo type="num">
                <xm:f>100</xm:f>
              </x14:cfvo>
              <x14:negativeFillColor rgb="FFFF0000"/>
              <x14:axisColor rgb="FF000000"/>
            </x14:dataBar>
          </x14:cfRule>
          <x14:cfRule type="dataBar" id="{5B633FE1-7FDE-402E-B0BF-1D1C1FD09505}">
            <x14:dataBar minLength="0" maxLength="100" gradient="0">
              <x14:cfvo type="num">
                <xm:f>0</xm:f>
              </x14:cfvo>
              <x14:cfvo type="num">
                <xm:f>"100+$M$54"</xm:f>
              </x14:cfvo>
              <x14:negativeFillColor rgb="FFFF0000"/>
              <x14:axisColor rgb="FF000000"/>
            </x14:dataBar>
          </x14:cfRule>
          <x14:cfRule type="dataBar" id="{BAC97603-B53C-457A-806E-AA47FC5943DA}">
            <x14:dataBar minLength="0" maxLength="100" gradient="0">
              <x14:cfvo type="autoMin"/>
              <x14:cfvo type="autoMax"/>
              <x14:negativeFillColor rgb="FFFF0000"/>
              <x14:axisColor rgb="FF000000"/>
            </x14:dataBar>
          </x14:cfRule>
          <xm:sqref>F89:I89</xm:sqref>
        </x14:conditionalFormatting>
        <x14:conditionalFormatting xmlns:xm="http://schemas.microsoft.com/office/excel/2006/main">
          <x14:cfRule type="dataBar" id="{EB5A1A79-49FD-42B1-B678-D98867B710BD}">
            <x14:dataBar minLength="0" maxLength="100" gradient="0">
              <x14:cfvo type="autoMin"/>
              <x14:cfvo type="autoMax"/>
              <x14:negativeFillColor rgb="FFFF0000"/>
              <x14:axisColor rgb="FF000000"/>
            </x14:dataBar>
          </x14:cfRule>
          <xm:sqref>L76</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03988-0378-41D9-B8E6-8E80AFB1802B}">
  <sheetPr>
    <pageSetUpPr fitToPage="1"/>
  </sheetPr>
  <dimension ref="A1:O33"/>
  <sheetViews>
    <sheetView workbookViewId="0">
      <selection activeCell="L18" sqref="L18"/>
    </sheetView>
  </sheetViews>
  <sheetFormatPr defaultRowHeight="14.25"/>
  <cols>
    <col min="1" max="1" width="3.3984375" customWidth="1"/>
    <col min="2" max="2" width="9.19921875" bestFit="1" customWidth="1"/>
    <col min="3" max="3" width="10.19921875" bestFit="1" customWidth="1"/>
    <col min="4" max="4" width="11.33203125" customWidth="1"/>
    <col min="5" max="5" width="10.19921875" customWidth="1"/>
    <col min="6" max="6" width="14.06640625" customWidth="1"/>
    <col min="8" max="8" width="10.53125" customWidth="1"/>
  </cols>
  <sheetData>
    <row r="1" spans="1:15" ht="18">
      <c r="B1" s="113" t="s">
        <v>587</v>
      </c>
      <c r="C1" s="114"/>
      <c r="D1" s="114"/>
      <c r="E1" s="114"/>
      <c r="F1" s="114"/>
      <c r="G1" s="114"/>
      <c r="H1" s="115"/>
      <c r="I1" s="114"/>
      <c r="J1" s="114"/>
      <c r="K1" s="114"/>
      <c r="L1" s="114"/>
      <c r="M1" s="114"/>
      <c r="N1" s="114"/>
      <c r="O1" s="114"/>
    </row>
    <row r="2" spans="1:15" ht="21">
      <c r="B2" s="9"/>
      <c r="N2" s="175" t="s">
        <v>578</v>
      </c>
      <c r="O2" s="175"/>
    </row>
    <row r="3" spans="1:15">
      <c r="B3" t="s">
        <v>588</v>
      </c>
    </row>
    <row r="4" spans="1:15" ht="15.4" customHeight="1">
      <c r="B4" t="s">
        <v>589</v>
      </c>
    </row>
    <row r="5" spans="1:15" ht="15.4" customHeight="1">
      <c r="B5" t="s">
        <v>591</v>
      </c>
    </row>
    <row r="6" spans="1:15" ht="16.25" customHeight="1">
      <c r="B6" s="13"/>
      <c r="C6" s="37"/>
      <c r="D6" s="37"/>
      <c r="F6" s="11" t="s">
        <v>127</v>
      </c>
      <c r="G6" s="37"/>
      <c r="H6" s="37"/>
    </row>
    <row r="7" spans="1:15" ht="16.25" customHeight="1">
      <c r="B7" s="13" t="s">
        <v>590</v>
      </c>
      <c r="E7" s="159">
        <v>25</v>
      </c>
      <c r="F7" s="13" t="str">
        <f>CONCATENATE("The score is ",E7)</f>
        <v>The score is 25</v>
      </c>
    </row>
    <row r="8" spans="1:15" ht="16.25" customHeight="1">
      <c r="B8" s="13"/>
      <c r="F8" s="13"/>
    </row>
    <row r="9" spans="1:15" ht="16.25" customHeight="1">
      <c r="B9" s="13"/>
      <c r="E9" s="11" t="s">
        <v>592</v>
      </c>
      <c r="F9" s="11" t="s">
        <v>593</v>
      </c>
      <c r="H9" s="11" t="s">
        <v>127</v>
      </c>
    </row>
    <row r="10" spans="1:15" ht="16.25" customHeight="1">
      <c r="B10" s="13" t="s">
        <v>595</v>
      </c>
      <c r="E10" s="159" t="s">
        <v>594</v>
      </c>
      <c r="F10" s="159" t="s">
        <v>373</v>
      </c>
      <c r="H10" t="str">
        <f>CONCATENATE(E10," ",F10)</f>
        <v>Mary Smith</v>
      </c>
    </row>
    <row r="11" spans="1:15" ht="16.25" customHeight="1"/>
    <row r="12" spans="1:15" ht="16.25" customHeight="1"/>
    <row r="13" spans="1:15">
      <c r="B13" t="s">
        <v>604</v>
      </c>
      <c r="D13" s="39"/>
    </row>
    <row r="14" spans="1:15">
      <c r="B14" t="s">
        <v>602</v>
      </c>
    </row>
    <row r="15" spans="1:15">
      <c r="C15" s="32" t="s">
        <v>44</v>
      </c>
      <c r="D15" s="32" t="s">
        <v>596</v>
      </c>
      <c r="E15" s="32" t="s">
        <v>598</v>
      </c>
    </row>
    <row r="16" spans="1:15">
      <c r="A16" s="11">
        <v>1</v>
      </c>
      <c r="B16" s="161" t="s">
        <v>321</v>
      </c>
      <c r="C16" s="162">
        <v>25000</v>
      </c>
      <c r="D16" s="161">
        <v>15</v>
      </c>
      <c r="E16" s="161">
        <v>5</v>
      </c>
    </row>
    <row r="17" spans="1:5">
      <c r="A17" s="11">
        <v>2</v>
      </c>
      <c r="B17" s="161" t="s">
        <v>37</v>
      </c>
      <c r="C17" s="162">
        <v>152000</v>
      </c>
      <c r="D17" s="161">
        <v>23</v>
      </c>
      <c r="E17" s="161">
        <v>14</v>
      </c>
    </row>
    <row r="18" spans="1:5">
      <c r="A18" s="11">
        <v>3</v>
      </c>
      <c r="B18" s="161" t="s">
        <v>79</v>
      </c>
      <c r="C18" s="162">
        <v>186000</v>
      </c>
      <c r="D18" s="161">
        <v>23</v>
      </c>
      <c r="E18" s="161">
        <v>11</v>
      </c>
    </row>
    <row r="19" spans="1:5">
      <c r="A19" s="11">
        <v>4</v>
      </c>
      <c r="B19" s="161" t="s">
        <v>597</v>
      </c>
      <c r="C19" s="162">
        <v>162000</v>
      </c>
      <c r="D19" s="161">
        <v>38</v>
      </c>
      <c r="E19" s="161">
        <v>24</v>
      </c>
    </row>
    <row r="20" spans="1:5">
      <c r="D20" s="39"/>
    </row>
    <row r="21" spans="1:5">
      <c r="B21" s="163" t="s">
        <v>599</v>
      </c>
      <c r="D21" s="39"/>
    </row>
    <row r="22" spans="1:5">
      <c r="D22" s="39"/>
    </row>
    <row r="23" spans="1:5">
      <c r="A23" s="164">
        <v>2</v>
      </c>
      <c r="D23" s="42"/>
    </row>
    <row r="24" spans="1:5">
      <c r="B24" s="40"/>
      <c r="D24" s="41"/>
    </row>
    <row r="25" spans="1:5">
      <c r="B25" s="1" t="str">
        <f>VLOOKUP(MATCH($A$23,$A$16:$A$19,0),$A$16:$E$19,2)</f>
        <v>Boroondara</v>
      </c>
      <c r="C25" s="1">
        <f>VLOOKUP(MATCH($A$23,$A$16:$A$19,0),$A$16:$E$19,3)</f>
        <v>152000</v>
      </c>
      <c r="D25" s="1">
        <f>VLOOKUP(MATCH($A$23,$A$16:$A$19,0),$A$16:$E$19,4)</f>
        <v>23</v>
      </c>
      <c r="E25" s="1">
        <f>VLOOKUP(MATCH($A$23,$A$16:$A$19,0),$A$16:$E$19,5)</f>
        <v>14</v>
      </c>
    </row>
    <row r="27" spans="1:5">
      <c r="B27" t="s">
        <v>600</v>
      </c>
    </row>
    <row r="28" spans="1:5">
      <c r="B28" s="87" t="s">
        <v>601</v>
      </c>
    </row>
    <row r="30" spans="1:5">
      <c r="B30" s="11" t="s">
        <v>127</v>
      </c>
    </row>
    <row r="31" spans="1:5">
      <c r="B31" s="23" t="str">
        <f>CONCATENATE(B25," is a municipality with a population of ",C25," residents, of whom ",D25," per cent were born overseas and ",E25," per cent in non-English-speaking countries")</f>
        <v>Boroondara is a municipality with a population of 152000 residents, of whom 23 per cent were born overseas and 14 per cent in non-English-speaking countries</v>
      </c>
    </row>
    <row r="33" spans="2:2">
      <c r="B33" t="s">
        <v>603</v>
      </c>
    </row>
  </sheetData>
  <mergeCells count="1">
    <mergeCell ref="N2:O2"/>
  </mergeCells>
  <hyperlinks>
    <hyperlink ref="N2:O2" location="Front!C1" display="Front!C1" xr:uid="{76A09361-313A-4C73-8A58-17AA5749293E}"/>
  </hyperlinks>
  <pageMargins left="0.70866141732283472" right="0.70866141732283472" top="0.74803149606299213" bottom="0.74803149606299213" header="0.31496062992125984" footer="0.31496062992125984"/>
  <pageSetup paperSize="9" scale="94"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1</xdr:col>
                    <xdr:colOff>0</xdr:colOff>
                    <xdr:row>21</xdr:row>
                    <xdr:rowOff>161925</xdr:rowOff>
                  </from>
                  <to>
                    <xdr:col>2</xdr:col>
                    <xdr:colOff>452438</xdr:colOff>
                    <xdr:row>23</xdr:row>
                    <xdr:rowOff>4763</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84E21-1F6B-47B2-AB09-1F3C057E0596}">
  <sheetPr>
    <pageSetUpPr fitToPage="1"/>
  </sheetPr>
  <dimension ref="B1:O24"/>
  <sheetViews>
    <sheetView workbookViewId="0">
      <selection activeCell="N2" sqref="N2:O2"/>
    </sheetView>
  </sheetViews>
  <sheetFormatPr defaultRowHeight="14.25"/>
  <cols>
    <col min="1" max="1" width="3.3984375" customWidth="1"/>
    <col min="2" max="2" width="9.19921875" bestFit="1" customWidth="1"/>
    <col min="3" max="3" width="10.19921875" bestFit="1" customWidth="1"/>
    <col min="4" max="4" width="11.33203125" customWidth="1"/>
    <col min="5" max="5" width="10.19921875" customWidth="1"/>
    <col min="6" max="6" width="22.1328125" bestFit="1" customWidth="1"/>
    <col min="8" max="8" width="10.53125" customWidth="1"/>
  </cols>
  <sheetData>
    <row r="1" spans="2:15" ht="18">
      <c r="B1" s="113" t="s">
        <v>172</v>
      </c>
      <c r="C1" s="114"/>
      <c r="D1" s="114"/>
      <c r="E1" s="114"/>
      <c r="F1" s="114"/>
      <c r="G1" s="114"/>
      <c r="H1" s="115"/>
      <c r="I1" s="114"/>
      <c r="J1" s="114"/>
      <c r="K1" s="114"/>
      <c r="L1" s="114"/>
      <c r="M1" s="114"/>
      <c r="N1" s="114"/>
      <c r="O1" s="114"/>
    </row>
    <row r="2" spans="2:15" ht="21">
      <c r="B2" s="9"/>
      <c r="N2" s="175" t="s">
        <v>578</v>
      </c>
      <c r="O2" s="175"/>
    </row>
    <row r="3" spans="2:15">
      <c r="B3" t="s">
        <v>177</v>
      </c>
      <c r="F3" t="s">
        <v>182</v>
      </c>
    </row>
    <row r="4" spans="2:15" ht="15.4" customHeight="1">
      <c r="D4" t="s">
        <v>127</v>
      </c>
    </row>
    <row r="5" spans="2:15" ht="16.25" customHeight="1">
      <c r="B5" s="13" t="s">
        <v>173</v>
      </c>
      <c r="C5" s="37"/>
      <c r="D5" s="37">
        <f ca="1">TODAY()</f>
        <v>44764</v>
      </c>
      <c r="F5" s="13" t="s">
        <v>178</v>
      </c>
      <c r="G5" s="37"/>
      <c r="H5" s="37">
        <f ca="1">NOW()</f>
        <v>44764.889493981478</v>
      </c>
    </row>
    <row r="6" spans="2:15" ht="16.25" customHeight="1">
      <c r="B6" s="13" t="s">
        <v>174</v>
      </c>
      <c r="D6">
        <f ca="1">YEAR(TODAY())</f>
        <v>2022</v>
      </c>
      <c r="F6" s="13" t="s">
        <v>179</v>
      </c>
      <c r="H6">
        <f ca="1">YEAR(NOW())</f>
        <v>2022</v>
      </c>
    </row>
    <row r="7" spans="2:15" ht="16.25" customHeight="1">
      <c r="B7" s="13" t="s">
        <v>175</v>
      </c>
      <c r="D7">
        <f ca="1">MONTH(TODAY())</f>
        <v>7</v>
      </c>
      <c r="F7" s="13" t="s">
        <v>180</v>
      </c>
      <c r="H7">
        <f ca="1">MONTH(NOW())</f>
        <v>7</v>
      </c>
    </row>
    <row r="8" spans="2:15" ht="16.25" customHeight="1">
      <c r="B8" s="13" t="s">
        <v>176</v>
      </c>
      <c r="D8">
        <f ca="1">DAY(TODAY())</f>
        <v>22</v>
      </c>
      <c r="F8" s="13" t="s">
        <v>181</v>
      </c>
      <c r="H8">
        <f ca="1">DAY(NOW())</f>
        <v>22</v>
      </c>
    </row>
    <row r="9" spans="2:15" ht="16.25" customHeight="1"/>
    <row r="10" spans="2:15" ht="16.25" customHeight="1"/>
    <row r="11" spans="2:15" ht="16.25" customHeight="1"/>
    <row r="12" spans="2:15">
      <c r="B12" s="12" t="s">
        <v>185</v>
      </c>
    </row>
    <row r="13" spans="2:15" ht="28.9" customHeight="1">
      <c r="B13" s="177" t="s">
        <v>183</v>
      </c>
      <c r="C13" s="177"/>
      <c r="D13" s="177"/>
      <c r="E13" s="177"/>
      <c r="F13" s="177"/>
      <c r="G13" s="177"/>
      <c r="H13" s="177"/>
      <c r="I13" s="177"/>
      <c r="J13" s="177"/>
      <c r="K13" s="177"/>
    </row>
    <row r="14" spans="2:15" ht="28.9" customHeight="1">
      <c r="B14" s="177" t="s">
        <v>184</v>
      </c>
      <c r="C14" s="177"/>
      <c r="D14" s="177"/>
      <c r="E14" s="177"/>
      <c r="F14" s="177"/>
      <c r="G14" s="177"/>
      <c r="H14" s="177"/>
      <c r="I14" s="177"/>
      <c r="J14" s="177"/>
      <c r="K14" s="177"/>
    </row>
    <row r="15" spans="2:15">
      <c r="D15" s="39" t="s">
        <v>127</v>
      </c>
    </row>
    <row r="16" spans="2:15">
      <c r="B16" s="13" t="s">
        <v>186</v>
      </c>
      <c r="D16" s="37">
        <f>DATE(2022,5,5)</f>
        <v>44686</v>
      </c>
    </row>
    <row r="19" spans="2:11">
      <c r="B19" s="186" t="s">
        <v>187</v>
      </c>
      <c r="C19" s="186"/>
      <c r="D19" s="186"/>
      <c r="E19" s="186"/>
      <c r="F19" s="186"/>
      <c r="G19" s="186"/>
      <c r="H19" s="186"/>
      <c r="I19" s="186"/>
      <c r="J19" s="186"/>
      <c r="K19" s="186"/>
    </row>
    <row r="20" spans="2:11" ht="30" customHeight="1">
      <c r="B20" s="177" t="s">
        <v>192</v>
      </c>
      <c r="C20" s="177"/>
      <c r="D20" s="177"/>
      <c r="E20" s="177"/>
      <c r="F20" s="177"/>
      <c r="G20" s="177"/>
      <c r="H20" s="177"/>
      <c r="I20" s="177"/>
      <c r="J20" s="177"/>
      <c r="K20" s="177"/>
    </row>
    <row r="21" spans="2:11">
      <c r="D21" s="39" t="s">
        <v>127</v>
      </c>
    </row>
    <row r="22" spans="2:11">
      <c r="D22" s="42" t="s">
        <v>190</v>
      </c>
    </row>
    <row r="23" spans="2:11">
      <c r="B23" s="40" t="s">
        <v>188</v>
      </c>
      <c r="D23" s="41">
        <f>DATE(2022,5,5)-30</f>
        <v>44656</v>
      </c>
      <c r="E23" t="s">
        <v>189</v>
      </c>
    </row>
    <row r="24" spans="2:11">
      <c r="E24" t="s">
        <v>191</v>
      </c>
    </row>
  </sheetData>
  <mergeCells count="5">
    <mergeCell ref="B13:K13"/>
    <mergeCell ref="B14:K14"/>
    <mergeCell ref="B19:K19"/>
    <mergeCell ref="B20:K20"/>
    <mergeCell ref="N2:O2"/>
  </mergeCells>
  <hyperlinks>
    <hyperlink ref="N2:O2" location="Front!C1" display="Front!C1" xr:uid="{F5A61820-96F2-4915-91E7-44FAB63A7F41}"/>
  </hyperlinks>
  <pageMargins left="0.70866141732283472" right="0.70866141732283472" top="0.74803149606299213" bottom="0.74803149606299213" header="0.31496062992125984" footer="0.31496062992125984"/>
  <pageSetup paperSize="9" scale="8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11CFB-940A-47E6-BCA6-4B7FBD7239D0}">
  <sheetPr>
    <pageSetUpPr fitToPage="1"/>
  </sheetPr>
  <dimension ref="A1:O59"/>
  <sheetViews>
    <sheetView workbookViewId="0">
      <selection activeCell="N2" sqref="N2:O2"/>
    </sheetView>
  </sheetViews>
  <sheetFormatPr defaultRowHeight="14.25"/>
  <cols>
    <col min="1" max="1" width="3.265625" customWidth="1"/>
    <col min="2" max="2" width="10.53125" customWidth="1"/>
    <col min="8" max="8" width="9.06640625" style="1"/>
  </cols>
  <sheetData>
    <row r="1" spans="2:15" ht="18">
      <c r="B1" s="113" t="s">
        <v>436</v>
      </c>
      <c r="C1" s="114"/>
      <c r="D1" s="114"/>
      <c r="E1" s="114"/>
      <c r="F1" s="114"/>
      <c r="G1" s="114"/>
      <c r="H1" s="115"/>
      <c r="I1" s="114"/>
      <c r="J1" s="114"/>
      <c r="K1" s="114"/>
      <c r="L1" s="114"/>
      <c r="M1" s="114"/>
      <c r="N1" s="114"/>
      <c r="O1" s="114"/>
    </row>
    <row r="2" spans="2:15" ht="18">
      <c r="N2" s="175" t="s">
        <v>578</v>
      </c>
      <c r="O2" s="175"/>
    </row>
    <row r="4" spans="2:15">
      <c r="B4" s="12" t="s">
        <v>102</v>
      </c>
      <c r="C4" t="s">
        <v>103</v>
      </c>
      <c r="H4" s="31" t="s">
        <v>36</v>
      </c>
    </row>
    <row r="5" spans="2:15">
      <c r="B5" s="13" t="s">
        <v>113</v>
      </c>
      <c r="E5" s="29" t="s">
        <v>114</v>
      </c>
      <c r="H5" s="31" t="s">
        <v>109</v>
      </c>
    </row>
    <row r="6" spans="2:15">
      <c r="E6" s="8"/>
      <c r="H6" s="31" t="s">
        <v>38</v>
      </c>
    </row>
    <row r="7" spans="2:15">
      <c r="B7" s="12" t="s">
        <v>104</v>
      </c>
      <c r="C7" t="s">
        <v>105</v>
      </c>
      <c r="E7" s="8"/>
      <c r="H7" s="31" t="s">
        <v>110</v>
      </c>
    </row>
    <row r="8" spans="2:15">
      <c r="B8" s="13" t="s">
        <v>115</v>
      </c>
      <c r="E8" s="29" t="s">
        <v>117</v>
      </c>
      <c r="H8" s="31">
        <v>2</v>
      </c>
    </row>
    <row r="9" spans="2:15">
      <c r="E9" s="8"/>
      <c r="H9" s="31">
        <v>3</v>
      </c>
    </row>
    <row r="10" spans="2:15">
      <c r="E10" s="8"/>
      <c r="H10" s="31">
        <v>5</v>
      </c>
    </row>
    <row r="11" spans="2:15">
      <c r="B11" s="12" t="s">
        <v>106</v>
      </c>
      <c r="C11" t="s">
        <v>107</v>
      </c>
      <c r="E11" s="8"/>
      <c r="H11" s="31" t="s">
        <v>111</v>
      </c>
    </row>
    <row r="12" spans="2:15">
      <c r="B12" s="13" t="s">
        <v>116</v>
      </c>
      <c r="E12" s="29" t="s">
        <v>114</v>
      </c>
      <c r="H12" s="31" t="s">
        <v>112</v>
      </c>
    </row>
    <row r="13" spans="2:15">
      <c r="H13" s="31"/>
    </row>
    <row r="14" spans="2:15">
      <c r="H14" s="31"/>
    </row>
    <row r="15" spans="2:15">
      <c r="B15" s="12" t="s">
        <v>119</v>
      </c>
      <c r="C15" t="s">
        <v>120</v>
      </c>
      <c r="H15" s="31"/>
    </row>
    <row r="17" spans="1:13">
      <c r="B17" s="13" t="s">
        <v>121</v>
      </c>
    </row>
    <row r="19" spans="1:13" ht="27.85" customHeight="1">
      <c r="B19" s="177" t="s">
        <v>122</v>
      </c>
      <c r="C19" s="177"/>
      <c r="D19" s="177"/>
      <c r="E19" s="177"/>
      <c r="F19" s="177"/>
      <c r="G19" s="177"/>
      <c r="H19" s="177"/>
      <c r="I19" s="177"/>
      <c r="J19" s="177"/>
      <c r="K19" s="177"/>
      <c r="L19" s="177"/>
      <c r="M19" s="177"/>
    </row>
    <row r="20" spans="1:13" ht="21.75" customHeight="1">
      <c r="B20" s="177" t="s">
        <v>123</v>
      </c>
      <c r="C20" s="177"/>
      <c r="D20" s="177"/>
      <c r="E20" s="177"/>
      <c r="F20" s="177"/>
      <c r="G20" s="177"/>
      <c r="H20" s="177"/>
      <c r="I20" s="177"/>
      <c r="J20" s="177"/>
      <c r="K20" s="177"/>
      <c r="L20" s="177"/>
      <c r="M20" s="177"/>
    </row>
    <row r="21" spans="1:13" ht="20.65" customHeight="1">
      <c r="B21" s="177" t="s">
        <v>124</v>
      </c>
      <c r="C21" s="177"/>
      <c r="D21" s="177"/>
      <c r="E21" s="177"/>
      <c r="F21" s="177"/>
      <c r="G21" s="177"/>
      <c r="H21" s="177"/>
      <c r="I21" s="177"/>
      <c r="J21" s="177"/>
      <c r="K21" s="177"/>
      <c r="L21" s="177"/>
      <c r="M21" s="177"/>
    </row>
    <row r="22" spans="1:13" ht="55.5" customHeight="1">
      <c r="B22" s="177" t="s">
        <v>130</v>
      </c>
      <c r="C22" s="177"/>
      <c r="D22" s="177"/>
      <c r="E22" s="177"/>
      <c r="F22" s="177"/>
      <c r="G22" s="177"/>
      <c r="H22" s="177"/>
      <c r="I22" s="177"/>
      <c r="J22" s="177"/>
      <c r="K22" s="177"/>
      <c r="L22" s="177"/>
      <c r="M22" s="177"/>
    </row>
    <row r="23" spans="1:13">
      <c r="B23" s="177"/>
      <c r="C23" s="177"/>
      <c r="D23" s="177"/>
      <c r="E23" s="177"/>
      <c r="F23" s="177"/>
      <c r="G23" s="177"/>
      <c r="H23" s="177"/>
      <c r="I23" s="177"/>
      <c r="J23" s="177"/>
      <c r="K23" s="177"/>
      <c r="L23" s="177"/>
      <c r="M23" s="177"/>
    </row>
    <row r="25" spans="1:13">
      <c r="B25" t="s">
        <v>125</v>
      </c>
      <c r="E25" t="s">
        <v>127</v>
      </c>
    </row>
    <row r="26" spans="1:13">
      <c r="B26" s="13" t="s">
        <v>126</v>
      </c>
      <c r="E26">
        <v>1</v>
      </c>
      <c r="H26" s="31" t="s">
        <v>36</v>
      </c>
    </row>
    <row r="27" spans="1:13">
      <c r="H27" s="31" t="s">
        <v>109</v>
      </c>
    </row>
    <row r="28" spans="1:13">
      <c r="B28" s="13" t="s">
        <v>128</v>
      </c>
      <c r="E28">
        <v>2</v>
      </c>
      <c r="H28" s="31" t="s">
        <v>38</v>
      </c>
    </row>
    <row r="29" spans="1:13">
      <c r="H29" s="31" t="s">
        <v>110</v>
      </c>
    </row>
    <row r="30" spans="1:13">
      <c r="A30">
        <v>1</v>
      </c>
      <c r="B30" s="13" t="s">
        <v>129</v>
      </c>
      <c r="E30">
        <v>1</v>
      </c>
      <c r="H30" s="31">
        <v>2</v>
      </c>
    </row>
    <row r="31" spans="1:13">
      <c r="H31" s="31">
        <v>3</v>
      </c>
    </row>
    <row r="32" spans="1:13">
      <c r="B32" s="13" t="s">
        <v>131</v>
      </c>
      <c r="E32">
        <v>1</v>
      </c>
      <c r="H32" s="31">
        <v>5</v>
      </c>
    </row>
    <row r="33" spans="2:8">
      <c r="H33" s="31" t="s">
        <v>111</v>
      </c>
    </row>
    <row r="34" spans="2:8">
      <c r="H34" s="31" t="s">
        <v>112</v>
      </c>
    </row>
    <row r="35" spans="2:8">
      <c r="H35" s="31">
        <v>1</v>
      </c>
    </row>
    <row r="36" spans="2:8">
      <c r="H36" s="31"/>
    </row>
    <row r="37" spans="2:8">
      <c r="H37" s="31"/>
    </row>
    <row r="40" spans="2:8" ht="21">
      <c r="B40" s="30" t="s">
        <v>132</v>
      </c>
      <c r="H40" s="31">
        <v>2</v>
      </c>
    </row>
    <row r="41" spans="2:8">
      <c r="B41" t="s">
        <v>133</v>
      </c>
      <c r="H41" s="31">
        <v>3</v>
      </c>
    </row>
    <row r="42" spans="2:8">
      <c r="E42" s="8" t="s">
        <v>127</v>
      </c>
      <c r="H42" s="31">
        <v>6</v>
      </c>
    </row>
    <row r="43" spans="2:8">
      <c r="B43" s="13" t="s">
        <v>134</v>
      </c>
      <c r="E43" s="8">
        <v>21</v>
      </c>
      <c r="H43" s="31">
        <v>5</v>
      </c>
    </row>
    <row r="44" spans="2:8">
      <c r="E44" s="8"/>
      <c r="H44" s="31">
        <v>4</v>
      </c>
    </row>
    <row r="45" spans="2:8">
      <c r="E45" s="8"/>
      <c r="H45" s="31">
        <v>2</v>
      </c>
    </row>
    <row r="46" spans="2:8">
      <c r="E46" s="8"/>
      <c r="H46" s="31">
        <v>3</v>
      </c>
    </row>
    <row r="47" spans="2:8">
      <c r="E47" s="8"/>
      <c r="H47" s="31">
        <v>6</v>
      </c>
    </row>
    <row r="48" spans="2:8">
      <c r="E48" s="8"/>
    </row>
    <row r="49" spans="2:9">
      <c r="B49" t="s">
        <v>136</v>
      </c>
      <c r="E49" s="8"/>
    </row>
    <row r="50" spans="2:9">
      <c r="E50" s="8"/>
    </row>
    <row r="51" spans="2:9">
      <c r="B51" s="13" t="s">
        <v>135</v>
      </c>
      <c r="E51" s="8">
        <v>158</v>
      </c>
      <c r="H51" s="31">
        <v>2</v>
      </c>
      <c r="I51">
        <v>23</v>
      </c>
    </row>
    <row r="52" spans="2:9">
      <c r="E52" s="8"/>
      <c r="H52" s="31">
        <v>3</v>
      </c>
      <c r="I52">
        <v>56</v>
      </c>
    </row>
    <row r="53" spans="2:9">
      <c r="B53" s="13" t="s">
        <v>137</v>
      </c>
      <c r="E53" s="8">
        <v>41</v>
      </c>
      <c r="H53" s="31">
        <v>6</v>
      </c>
      <c r="I53">
        <v>84</v>
      </c>
    </row>
    <row r="54" spans="2:9">
      <c r="E54" s="8"/>
      <c r="H54" s="31">
        <v>5</v>
      </c>
      <c r="I54">
        <v>52</v>
      </c>
    </row>
    <row r="55" spans="2:9">
      <c r="E55" s="8"/>
      <c r="H55" s="31">
        <v>4</v>
      </c>
      <c r="I55">
        <v>12</v>
      </c>
    </row>
    <row r="56" spans="2:9">
      <c r="E56" s="8"/>
      <c r="H56" s="31" t="s">
        <v>36</v>
      </c>
      <c r="I56">
        <v>65</v>
      </c>
    </row>
    <row r="57" spans="2:9">
      <c r="E57" s="8"/>
      <c r="H57" s="31" t="s">
        <v>109</v>
      </c>
      <c r="I57">
        <v>98</v>
      </c>
    </row>
    <row r="58" spans="2:9">
      <c r="E58" s="8"/>
      <c r="H58" s="31" t="s">
        <v>38</v>
      </c>
      <c r="I58">
        <v>41</v>
      </c>
    </row>
    <row r="59" spans="2:9">
      <c r="E59" s="8"/>
    </row>
  </sheetData>
  <mergeCells count="6">
    <mergeCell ref="B23:M23"/>
    <mergeCell ref="N2:O2"/>
    <mergeCell ref="B19:M19"/>
    <mergeCell ref="B20:M20"/>
    <mergeCell ref="B21:M21"/>
    <mergeCell ref="B22:M22"/>
  </mergeCells>
  <hyperlinks>
    <hyperlink ref="N2:O2" location="Front!C1" display="Front!C1" xr:uid="{5C6FCE69-8F70-43F5-A823-833A066AA51A}"/>
  </hyperlinks>
  <pageMargins left="0.39370078740157483" right="0.39370078740157483" top="0.39370078740157483" bottom="0.39370078740157483" header="0.31496062992125984" footer="0.31496062992125984"/>
  <pageSetup paperSize="9" scale="7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BB71F-16D3-478C-9BBF-293C88F9E821}">
  <sheetPr>
    <pageSetUpPr fitToPage="1"/>
  </sheetPr>
  <dimension ref="B1:O49"/>
  <sheetViews>
    <sheetView workbookViewId="0">
      <selection activeCell="N2" sqref="N2:O2"/>
    </sheetView>
  </sheetViews>
  <sheetFormatPr defaultRowHeight="14.25"/>
  <cols>
    <col min="1" max="1" width="3.796875" customWidth="1"/>
    <col min="3" max="3" width="16.33203125" customWidth="1"/>
    <col min="4" max="6" width="13.796875" customWidth="1"/>
    <col min="7" max="7" width="15.1328125" customWidth="1"/>
    <col min="8" max="8" width="13.86328125" customWidth="1"/>
  </cols>
  <sheetData>
    <row r="1" spans="2:15" ht="18">
      <c r="B1" s="113" t="s">
        <v>17</v>
      </c>
      <c r="C1" s="114"/>
      <c r="D1" s="114"/>
      <c r="E1" s="114"/>
      <c r="F1" s="114"/>
      <c r="G1" s="114"/>
      <c r="H1" s="115"/>
      <c r="I1" s="114"/>
      <c r="J1" s="114"/>
      <c r="K1" s="114"/>
      <c r="L1" s="114"/>
      <c r="M1" s="114"/>
      <c r="N1" s="114"/>
      <c r="O1" s="114"/>
    </row>
    <row r="2" spans="2:15" ht="18">
      <c r="N2" s="175" t="s">
        <v>578</v>
      </c>
      <c r="O2" s="175"/>
    </row>
    <row r="3" spans="2:15" ht="15">
      <c r="B3" s="5"/>
    </row>
    <row r="4" spans="2:15">
      <c r="B4" s="187" t="s">
        <v>18</v>
      </c>
      <c r="C4" s="187"/>
      <c r="D4" s="187"/>
      <c r="E4" s="187"/>
      <c r="F4" s="187"/>
      <c r="G4" s="187"/>
      <c r="H4" s="187"/>
      <c r="I4" s="187"/>
      <c r="J4" s="187"/>
      <c r="K4" s="187"/>
      <c r="L4" s="187"/>
      <c r="M4" s="187"/>
      <c r="N4" s="187"/>
    </row>
    <row r="5" spans="2:15">
      <c r="B5" s="187" t="s">
        <v>19</v>
      </c>
      <c r="C5" s="187"/>
      <c r="D5" s="187"/>
      <c r="E5" s="187"/>
      <c r="F5" s="187"/>
      <c r="G5" s="187"/>
      <c r="H5" s="187"/>
      <c r="I5" s="187"/>
      <c r="J5" s="187"/>
      <c r="K5" s="187"/>
      <c r="L5" s="187"/>
      <c r="M5" s="187"/>
      <c r="N5" s="187"/>
    </row>
    <row r="6" spans="2:15">
      <c r="B6" s="187" t="s">
        <v>20</v>
      </c>
      <c r="C6" s="187"/>
      <c r="D6" s="187"/>
      <c r="E6" s="187"/>
      <c r="F6" s="187"/>
      <c r="G6" s="187"/>
      <c r="H6" s="187"/>
      <c r="I6" s="187"/>
      <c r="J6" s="187"/>
      <c r="K6" s="187"/>
      <c r="L6" s="187"/>
      <c r="M6" s="187"/>
      <c r="N6" s="187"/>
    </row>
    <row r="7" spans="2:15">
      <c r="B7" s="6">
        <v>1</v>
      </c>
      <c r="C7" s="6" t="s">
        <v>21</v>
      </c>
    </row>
    <row r="8" spans="2:15">
      <c r="B8" s="6">
        <v>2</v>
      </c>
      <c r="C8" s="6" t="s">
        <v>22</v>
      </c>
    </row>
    <row r="9" spans="2:15">
      <c r="B9" s="6">
        <v>3</v>
      </c>
      <c r="C9" s="6" t="s">
        <v>23</v>
      </c>
    </row>
    <row r="10" spans="2:15">
      <c r="B10" s="6">
        <v>4</v>
      </c>
      <c r="C10" s="6" t="s">
        <v>24</v>
      </c>
    </row>
    <row r="11" spans="2:15">
      <c r="B11" s="6">
        <v>5</v>
      </c>
      <c r="C11" s="6" t="s">
        <v>25</v>
      </c>
    </row>
    <row r="12" spans="2:15">
      <c r="B12" s="6">
        <v>6</v>
      </c>
      <c r="C12" s="6" t="s">
        <v>26</v>
      </c>
    </row>
    <row r="13" spans="2:15">
      <c r="B13" s="6">
        <v>7</v>
      </c>
      <c r="C13" s="6" t="s">
        <v>27</v>
      </c>
    </row>
    <row r="14" spans="2:15">
      <c r="B14" s="6">
        <v>8</v>
      </c>
      <c r="C14" s="6" t="s">
        <v>28</v>
      </c>
    </row>
    <row r="15" spans="2:15">
      <c r="B15" s="6">
        <v>9</v>
      </c>
      <c r="C15" s="6" t="s">
        <v>29</v>
      </c>
    </row>
    <row r="16" spans="2:15">
      <c r="B16" s="6">
        <v>10</v>
      </c>
      <c r="C16" s="6" t="s">
        <v>30</v>
      </c>
    </row>
    <row r="17" spans="2:8">
      <c r="B17" s="7">
        <v>11</v>
      </c>
      <c r="C17" s="7" t="s">
        <v>31</v>
      </c>
    </row>
    <row r="18" spans="2:8">
      <c r="B18" s="7" t="s">
        <v>32</v>
      </c>
    </row>
    <row r="19" spans="2:8">
      <c r="B19" s="7" t="s">
        <v>33</v>
      </c>
    </row>
    <row r="21" spans="2:8">
      <c r="B21" s="12" t="s">
        <v>435</v>
      </c>
      <c r="D21" s="1"/>
      <c r="E21" s="1"/>
      <c r="F21" s="1"/>
      <c r="H21" s="1"/>
    </row>
    <row r="22" spans="2:8">
      <c r="C22" s="32" t="s">
        <v>432</v>
      </c>
      <c r="D22" s="1"/>
      <c r="E22" s="1"/>
      <c r="F22" s="1"/>
      <c r="G22" s="1" t="s">
        <v>433</v>
      </c>
      <c r="H22" s="1" t="s">
        <v>434</v>
      </c>
    </row>
    <row r="23" spans="2:8">
      <c r="C23" s="128" t="s">
        <v>382</v>
      </c>
      <c r="G23" s="128" t="s">
        <v>383</v>
      </c>
      <c r="H23" s="128" t="s">
        <v>384</v>
      </c>
    </row>
    <row r="24" spans="2:8">
      <c r="B24" s="130" t="s">
        <v>127</v>
      </c>
      <c r="C24" s="129">
        <f>SUBTOTAL(3,C26:C49)</f>
        <v>24</v>
      </c>
      <c r="F24" s="130" t="s">
        <v>127</v>
      </c>
      <c r="G24" s="129">
        <f>SUBTOTAL(9,G26:G49)</f>
        <v>54891618.889999993</v>
      </c>
      <c r="H24" s="129">
        <f>SUBTOTAL(9,H26:H49)</f>
        <v>1114</v>
      </c>
    </row>
    <row r="25" spans="2:8" ht="22.5" customHeight="1">
      <c r="C25" s="131" t="s">
        <v>385</v>
      </c>
      <c r="D25" s="132" t="s">
        <v>386</v>
      </c>
      <c r="E25" s="133" t="s">
        <v>387</v>
      </c>
      <c r="F25" s="132" t="s">
        <v>388</v>
      </c>
      <c r="G25" s="134" t="s">
        <v>389</v>
      </c>
      <c r="H25" s="135" t="s">
        <v>390</v>
      </c>
    </row>
    <row r="26" spans="2:8">
      <c r="C26" s="120" t="s">
        <v>391</v>
      </c>
      <c r="D26" s="121" t="s">
        <v>392</v>
      </c>
      <c r="E26" s="122" t="s">
        <v>393</v>
      </c>
      <c r="F26" s="121" t="s">
        <v>394</v>
      </c>
      <c r="G26" s="123">
        <v>1292066.06</v>
      </c>
      <c r="H26" s="121">
        <v>55</v>
      </c>
    </row>
    <row r="27" spans="2:8">
      <c r="C27" s="124" t="s">
        <v>395</v>
      </c>
      <c r="D27" s="125" t="s">
        <v>392</v>
      </c>
      <c r="E27" s="126" t="s">
        <v>80</v>
      </c>
      <c r="F27" s="125" t="s">
        <v>394</v>
      </c>
      <c r="G27" s="127">
        <v>2107892.83</v>
      </c>
      <c r="H27" s="125">
        <v>77</v>
      </c>
    </row>
    <row r="28" spans="2:8">
      <c r="C28" s="124" t="s">
        <v>396</v>
      </c>
      <c r="D28" s="125" t="s">
        <v>392</v>
      </c>
      <c r="E28" s="126" t="s">
        <v>397</v>
      </c>
      <c r="F28" s="125" t="s">
        <v>398</v>
      </c>
      <c r="G28" s="127">
        <v>3478010.8200000003</v>
      </c>
      <c r="H28" s="125">
        <v>50</v>
      </c>
    </row>
    <row r="29" spans="2:8">
      <c r="C29" s="124" t="s">
        <v>399</v>
      </c>
      <c r="D29" s="125" t="s">
        <v>392</v>
      </c>
      <c r="E29" s="126" t="s">
        <v>80</v>
      </c>
      <c r="F29" s="125" t="s">
        <v>398</v>
      </c>
      <c r="G29" s="127">
        <v>1647969.5299999998</v>
      </c>
      <c r="H29" s="125">
        <v>24</v>
      </c>
    </row>
    <row r="30" spans="2:8">
      <c r="C30" s="124" t="s">
        <v>400</v>
      </c>
      <c r="D30" s="125" t="s">
        <v>42</v>
      </c>
      <c r="E30" s="126" t="s">
        <v>401</v>
      </c>
      <c r="F30" s="125" t="s">
        <v>394</v>
      </c>
      <c r="G30" s="127">
        <v>1439440.14</v>
      </c>
      <c r="H30" s="125">
        <v>35</v>
      </c>
    </row>
    <row r="31" spans="2:8">
      <c r="C31" s="124" t="s">
        <v>402</v>
      </c>
      <c r="D31" s="125" t="s">
        <v>42</v>
      </c>
      <c r="E31" s="126" t="s">
        <v>403</v>
      </c>
      <c r="F31" s="125" t="s">
        <v>398</v>
      </c>
      <c r="G31" s="127">
        <v>7535328.0999999996</v>
      </c>
      <c r="H31" s="125">
        <v>100</v>
      </c>
    </row>
    <row r="32" spans="2:8">
      <c r="C32" s="124" t="s">
        <v>404</v>
      </c>
      <c r="D32" s="125" t="s">
        <v>392</v>
      </c>
      <c r="E32" s="126" t="s">
        <v>405</v>
      </c>
      <c r="F32" s="125" t="s">
        <v>394</v>
      </c>
      <c r="G32" s="127">
        <v>873140.46</v>
      </c>
      <c r="H32" s="125">
        <v>37</v>
      </c>
    </row>
    <row r="33" spans="3:8">
      <c r="C33" s="124" t="s">
        <v>406</v>
      </c>
      <c r="D33" s="125" t="s">
        <v>392</v>
      </c>
      <c r="E33" s="126" t="s">
        <v>405</v>
      </c>
      <c r="F33" s="125" t="s">
        <v>394</v>
      </c>
      <c r="G33" s="127">
        <v>1989539.03</v>
      </c>
      <c r="H33" s="125">
        <v>58</v>
      </c>
    </row>
    <row r="34" spans="3:8">
      <c r="C34" s="124" t="s">
        <v>407</v>
      </c>
      <c r="D34" s="125" t="s">
        <v>392</v>
      </c>
      <c r="E34" s="126" t="s">
        <v>405</v>
      </c>
      <c r="F34" s="125" t="s">
        <v>394</v>
      </c>
      <c r="G34" s="127">
        <v>2298351.65</v>
      </c>
      <c r="H34" s="125">
        <v>83</v>
      </c>
    </row>
    <row r="35" spans="3:8">
      <c r="C35" s="124" t="s">
        <v>408</v>
      </c>
      <c r="D35" s="125" t="s">
        <v>42</v>
      </c>
      <c r="E35" s="126" t="s">
        <v>409</v>
      </c>
      <c r="F35" s="125" t="s">
        <v>398</v>
      </c>
      <c r="G35" s="127">
        <v>747561.69</v>
      </c>
      <c r="H35" s="125">
        <v>42</v>
      </c>
    </row>
    <row r="36" spans="3:8">
      <c r="C36" s="124" t="s">
        <v>410</v>
      </c>
      <c r="D36" s="125" t="s">
        <v>392</v>
      </c>
      <c r="E36" s="126" t="s">
        <v>75</v>
      </c>
      <c r="F36" s="125" t="s">
        <v>394</v>
      </c>
      <c r="G36" s="127">
        <v>4315517.38</v>
      </c>
      <c r="H36" s="125">
        <v>80</v>
      </c>
    </row>
    <row r="37" spans="3:8">
      <c r="C37" s="124" t="s">
        <v>411</v>
      </c>
      <c r="D37" s="125" t="s">
        <v>392</v>
      </c>
      <c r="E37" s="126" t="s">
        <v>412</v>
      </c>
      <c r="F37" s="125" t="s">
        <v>398</v>
      </c>
      <c r="G37" s="127">
        <v>1075277.3</v>
      </c>
      <c r="H37" s="125">
        <v>45</v>
      </c>
    </row>
    <row r="38" spans="3:8">
      <c r="C38" s="124" t="s">
        <v>413</v>
      </c>
      <c r="D38" s="125" t="s">
        <v>42</v>
      </c>
      <c r="E38" s="126" t="s">
        <v>414</v>
      </c>
      <c r="F38" s="125" t="s">
        <v>394</v>
      </c>
      <c r="G38" s="127">
        <v>395404.57</v>
      </c>
      <c r="H38" s="125">
        <v>34</v>
      </c>
    </row>
    <row r="39" spans="3:8">
      <c r="C39" s="124" t="s">
        <v>415</v>
      </c>
      <c r="D39" s="125" t="s">
        <v>42</v>
      </c>
      <c r="E39" s="126" t="s">
        <v>322</v>
      </c>
      <c r="F39" s="125" t="s">
        <v>394</v>
      </c>
      <c r="G39" s="127">
        <v>2536538.1</v>
      </c>
      <c r="H39" s="125">
        <v>55</v>
      </c>
    </row>
    <row r="40" spans="3:8">
      <c r="C40" s="124" t="s">
        <v>416</v>
      </c>
      <c r="D40" s="125" t="s">
        <v>392</v>
      </c>
      <c r="E40" s="126" t="s">
        <v>82</v>
      </c>
      <c r="F40" s="125" t="s">
        <v>398</v>
      </c>
      <c r="G40" s="127">
        <v>6149528.9399999995</v>
      </c>
      <c r="H40" s="125">
        <v>50</v>
      </c>
    </row>
    <row r="41" spans="3:8">
      <c r="C41" s="124" t="s">
        <v>417</v>
      </c>
      <c r="D41" s="125" t="s">
        <v>42</v>
      </c>
      <c r="E41" s="126" t="s">
        <v>418</v>
      </c>
      <c r="F41" s="125" t="s">
        <v>398</v>
      </c>
      <c r="G41" s="127">
        <v>1277580.6200000001</v>
      </c>
      <c r="H41" s="125">
        <v>23</v>
      </c>
    </row>
    <row r="42" spans="3:8">
      <c r="C42" s="124" t="s">
        <v>419</v>
      </c>
      <c r="D42" s="125" t="s">
        <v>42</v>
      </c>
      <c r="E42" s="126" t="s">
        <v>420</v>
      </c>
      <c r="F42" s="125" t="s">
        <v>394</v>
      </c>
      <c r="G42" s="127">
        <v>2112751.23</v>
      </c>
      <c r="H42" s="125">
        <v>30</v>
      </c>
    </row>
    <row r="43" spans="3:8">
      <c r="C43" s="124" t="s">
        <v>421</v>
      </c>
      <c r="D43" s="125" t="s">
        <v>42</v>
      </c>
      <c r="E43" s="126" t="s">
        <v>422</v>
      </c>
      <c r="F43" s="125" t="s">
        <v>394</v>
      </c>
      <c r="G43" s="127">
        <v>569403.87</v>
      </c>
      <c r="H43" s="125">
        <v>30</v>
      </c>
    </row>
    <row r="44" spans="3:8">
      <c r="C44" s="124" t="s">
        <v>423</v>
      </c>
      <c r="D44" s="125" t="s">
        <v>42</v>
      </c>
      <c r="E44" s="126" t="s">
        <v>424</v>
      </c>
      <c r="F44" s="125" t="s">
        <v>394</v>
      </c>
      <c r="G44" s="127">
        <v>883444.75</v>
      </c>
      <c r="H44" s="125">
        <v>26</v>
      </c>
    </row>
    <row r="45" spans="3:8">
      <c r="C45" s="124" t="s">
        <v>425</v>
      </c>
      <c r="D45" s="125" t="s">
        <v>42</v>
      </c>
      <c r="E45" s="126" t="s">
        <v>424</v>
      </c>
      <c r="F45" s="125" t="s">
        <v>394</v>
      </c>
      <c r="G45" s="127">
        <v>496344.45</v>
      </c>
      <c r="H45" s="125">
        <v>15</v>
      </c>
    </row>
    <row r="46" spans="3:8">
      <c r="C46" s="124" t="s">
        <v>426</v>
      </c>
      <c r="D46" s="125" t="s">
        <v>42</v>
      </c>
      <c r="E46" s="126" t="s">
        <v>424</v>
      </c>
      <c r="F46" s="125" t="s">
        <v>394</v>
      </c>
      <c r="G46" s="127">
        <v>3955240.9799999995</v>
      </c>
      <c r="H46" s="125">
        <v>51</v>
      </c>
    </row>
    <row r="47" spans="3:8">
      <c r="C47" s="124" t="s">
        <v>427</v>
      </c>
      <c r="D47" s="125" t="s">
        <v>42</v>
      </c>
      <c r="E47" s="126" t="s">
        <v>424</v>
      </c>
      <c r="F47" s="125" t="s">
        <v>394</v>
      </c>
      <c r="G47" s="127">
        <v>1947128.19</v>
      </c>
      <c r="H47" s="125">
        <v>37</v>
      </c>
    </row>
    <row r="48" spans="3:8">
      <c r="C48" s="124" t="s">
        <v>428</v>
      </c>
      <c r="D48" s="125" t="s">
        <v>392</v>
      </c>
      <c r="E48" s="126" t="s">
        <v>429</v>
      </c>
      <c r="F48" s="125" t="s">
        <v>398</v>
      </c>
      <c r="G48" s="127">
        <v>3129148.8800000004</v>
      </c>
      <c r="H48" s="125">
        <v>32</v>
      </c>
    </row>
    <row r="49" spans="3:8">
      <c r="C49" s="124" t="s">
        <v>430</v>
      </c>
      <c r="D49" s="125" t="s">
        <v>392</v>
      </c>
      <c r="E49" s="126" t="s">
        <v>431</v>
      </c>
      <c r="F49" s="125" t="s">
        <v>398</v>
      </c>
      <c r="G49" s="127">
        <v>2639009.3199999998</v>
      </c>
      <c r="H49" s="125">
        <v>45</v>
      </c>
    </row>
  </sheetData>
  <autoFilter ref="C25:H49" xr:uid="{EA8BB71F-16D3-478C-9BBF-293C88F9E821}"/>
  <mergeCells count="4">
    <mergeCell ref="B4:N4"/>
    <mergeCell ref="B5:N5"/>
    <mergeCell ref="B6:N6"/>
    <mergeCell ref="N2:O2"/>
  </mergeCells>
  <hyperlinks>
    <hyperlink ref="N2:O2" location="Front!C1" display="Front!C1" xr:uid="{EF9D0B5A-2BC2-47C4-A5BC-784849CEF8E6}"/>
  </hyperlinks>
  <pageMargins left="0.70866141732283472" right="0.70866141732283472" top="0.74803149606299213" bottom="0.74803149606299213" header="0.31496062992125984" footer="0.31496062992125984"/>
  <pageSetup paperSize="9" scale="6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0B749-956B-40B0-AA3C-047279298134}">
  <sheetPr>
    <pageSetUpPr fitToPage="1"/>
  </sheetPr>
  <dimension ref="B1:O23"/>
  <sheetViews>
    <sheetView workbookViewId="0">
      <selection activeCell="N2" sqref="N2:O2"/>
    </sheetView>
  </sheetViews>
  <sheetFormatPr defaultRowHeight="14.25"/>
  <cols>
    <col min="1" max="1" width="3.796875" style="17" customWidth="1"/>
    <col min="2" max="2" width="17.46484375" style="17" customWidth="1"/>
    <col min="3" max="16384" width="9.06640625" style="17"/>
  </cols>
  <sheetData>
    <row r="1" spans="2:15" ht="18">
      <c r="B1" s="113" t="s">
        <v>210</v>
      </c>
      <c r="C1" s="114"/>
      <c r="D1" s="114"/>
      <c r="E1" s="114"/>
      <c r="F1" s="114"/>
      <c r="G1" s="114"/>
      <c r="H1" s="115"/>
      <c r="I1" s="114"/>
      <c r="J1" s="114"/>
      <c r="K1" s="114"/>
      <c r="L1" s="114"/>
      <c r="M1" s="114"/>
      <c r="N1" s="114"/>
      <c r="O1" s="114"/>
    </row>
    <row r="2" spans="2:15" ht="18">
      <c r="N2" s="175" t="s">
        <v>578</v>
      </c>
      <c r="O2" s="175"/>
    </row>
    <row r="4" spans="2:15" s="43" customFormat="1" ht="27.4" customHeight="1">
      <c r="B4" s="177" t="s">
        <v>212</v>
      </c>
      <c r="C4" s="177"/>
      <c r="D4" s="177"/>
      <c r="E4" s="177"/>
      <c r="F4" s="177"/>
      <c r="G4" s="177"/>
      <c r="H4" s="177"/>
      <c r="I4" s="177"/>
      <c r="J4" s="177"/>
      <c r="K4" s="177"/>
      <c r="L4" s="177"/>
    </row>
    <row r="5" spans="2:15" s="43" customFormat="1" ht="22.15" customHeight="1">
      <c r="B5" s="177" t="s">
        <v>215</v>
      </c>
      <c r="C5" s="177"/>
      <c r="D5" s="177"/>
      <c r="E5" s="177"/>
      <c r="F5" s="177"/>
      <c r="G5" s="177"/>
      <c r="H5" s="177"/>
      <c r="I5" s="177"/>
      <c r="J5" s="177"/>
      <c r="K5" s="177"/>
      <c r="L5" s="177"/>
    </row>
    <row r="6" spans="2:15" s="43" customFormat="1" ht="26.25" customHeight="1">
      <c r="B6" s="177" t="s">
        <v>213</v>
      </c>
      <c r="C6" s="177"/>
      <c r="D6" s="177"/>
      <c r="E6" s="177"/>
      <c r="F6" s="177"/>
      <c r="G6" s="177"/>
      <c r="H6" s="177"/>
      <c r="I6" s="45"/>
      <c r="J6" s="46">
        <v>1996</v>
      </c>
      <c r="K6" s="46">
        <v>1997</v>
      </c>
      <c r="L6" s="46">
        <v>1998</v>
      </c>
    </row>
    <row r="7" spans="2:15" s="43" customFormat="1" ht="14.25" customHeight="1">
      <c r="B7" s="38"/>
      <c r="C7" s="49" t="s">
        <v>127</v>
      </c>
      <c r="D7" s="38"/>
      <c r="E7" s="38"/>
      <c r="F7" s="38"/>
      <c r="G7" s="38"/>
      <c r="H7" s="38"/>
      <c r="I7" s="47" t="s">
        <v>193</v>
      </c>
      <c r="J7" s="48">
        <v>12037</v>
      </c>
      <c r="K7" s="48">
        <v>12246</v>
      </c>
      <c r="L7" s="48">
        <v>12282</v>
      </c>
    </row>
    <row r="8" spans="2:15" s="43" customFormat="1" ht="14.25" customHeight="1">
      <c r="B8" s="44" t="s">
        <v>211</v>
      </c>
      <c r="C8" s="43" t="str">
        <f>INDEX(I7:I23,5)</f>
        <v xml:space="preserve">Bass Coast </v>
      </c>
      <c r="I8" s="47" t="s">
        <v>194</v>
      </c>
      <c r="J8" s="48">
        <v>11965</v>
      </c>
      <c r="K8" s="48">
        <v>11938</v>
      </c>
      <c r="L8" s="48">
        <v>11828</v>
      </c>
    </row>
    <row r="9" spans="2:15" s="43" customFormat="1" ht="14.75" customHeight="1">
      <c r="B9" s="38"/>
      <c r="C9" s="38"/>
      <c r="D9" s="38"/>
      <c r="E9" s="38"/>
      <c r="F9" s="38"/>
      <c r="G9" s="38"/>
      <c r="H9" s="38"/>
      <c r="I9" s="47" t="s">
        <v>195</v>
      </c>
      <c r="J9" s="48">
        <v>79109</v>
      </c>
      <c r="K9" s="48">
        <v>79718</v>
      </c>
      <c r="L9" s="48">
        <v>80444</v>
      </c>
    </row>
    <row r="10" spans="2:15" s="43" customFormat="1" ht="14.75" customHeight="1">
      <c r="B10" s="38"/>
      <c r="C10" s="38"/>
      <c r="D10" s="38"/>
      <c r="E10" s="38"/>
      <c r="F10" s="38"/>
      <c r="G10" s="38"/>
      <c r="H10" s="38"/>
      <c r="I10" s="47" t="s">
        <v>196</v>
      </c>
      <c r="J10" s="48">
        <v>117901</v>
      </c>
      <c r="K10" s="48">
        <v>118443</v>
      </c>
      <c r="L10" s="48">
        <v>118877</v>
      </c>
    </row>
    <row r="11" spans="2:15" s="43" customFormat="1" ht="30" customHeight="1">
      <c r="B11" s="177" t="s">
        <v>216</v>
      </c>
      <c r="C11" s="177"/>
      <c r="D11" s="177"/>
      <c r="E11" s="177"/>
      <c r="F11" s="177"/>
      <c r="G11" s="177"/>
      <c r="H11" s="177"/>
      <c r="I11" s="47" t="s">
        <v>197</v>
      </c>
      <c r="J11" s="48">
        <v>21543</v>
      </c>
      <c r="K11" s="48">
        <v>22214</v>
      </c>
      <c r="L11" s="48">
        <v>22772</v>
      </c>
    </row>
    <row r="12" spans="2:15" s="43" customFormat="1" ht="14.75" customHeight="1">
      <c r="B12" s="38"/>
      <c r="C12" s="49" t="s">
        <v>127</v>
      </c>
      <c r="D12" s="38"/>
      <c r="E12" s="38"/>
      <c r="F12" s="38"/>
      <c r="G12" s="38"/>
      <c r="H12" s="38"/>
      <c r="I12" s="47" t="s">
        <v>198</v>
      </c>
      <c r="J12" s="48">
        <v>34470</v>
      </c>
      <c r="K12" s="48">
        <v>34709</v>
      </c>
      <c r="L12" s="48">
        <v>34927</v>
      </c>
    </row>
    <row r="13" spans="2:15" s="43" customFormat="1" ht="14.75" customHeight="1">
      <c r="B13" s="44" t="s">
        <v>214</v>
      </c>
      <c r="C13" s="50">
        <f>INDEX(I7:L23,5,4)</f>
        <v>22772</v>
      </c>
      <c r="D13" s="38"/>
      <c r="E13" s="38"/>
      <c r="F13" s="38"/>
      <c r="G13" s="38"/>
      <c r="H13" s="38"/>
      <c r="I13" s="47" t="s">
        <v>199</v>
      </c>
      <c r="J13" s="48">
        <v>86365</v>
      </c>
      <c r="K13" s="48">
        <v>86638</v>
      </c>
      <c r="L13" s="48">
        <v>86790</v>
      </c>
    </row>
    <row r="14" spans="2:15" s="43" customFormat="1" ht="14.75" customHeight="1">
      <c r="B14" s="38"/>
      <c r="C14" s="38"/>
      <c r="D14" s="38"/>
      <c r="E14" s="38"/>
      <c r="F14" s="38"/>
      <c r="G14" s="38"/>
      <c r="H14" s="38"/>
      <c r="I14" s="47" t="s">
        <v>200</v>
      </c>
      <c r="J14" s="48">
        <v>13800</v>
      </c>
      <c r="K14" s="48">
        <v>13969</v>
      </c>
      <c r="L14" s="48">
        <v>13946</v>
      </c>
    </row>
    <row r="15" spans="2:15" ht="14.75" customHeight="1">
      <c r="I15" s="47" t="s">
        <v>201</v>
      </c>
      <c r="J15" s="48">
        <v>153860</v>
      </c>
      <c r="K15" s="48">
        <v>154475</v>
      </c>
      <c r="L15" s="48">
        <v>154892</v>
      </c>
    </row>
    <row r="16" spans="2:15" ht="14.75" customHeight="1">
      <c r="B16" s="27" t="s">
        <v>217</v>
      </c>
      <c r="I16" s="47" t="s">
        <v>202</v>
      </c>
      <c r="J16" s="48">
        <v>155584</v>
      </c>
      <c r="K16" s="48">
        <v>156875</v>
      </c>
      <c r="L16" s="48">
        <v>161137</v>
      </c>
    </row>
    <row r="17" spans="2:12">
      <c r="B17" s="27" t="s">
        <v>218</v>
      </c>
      <c r="I17" s="47" t="s">
        <v>203</v>
      </c>
      <c r="J17" s="48">
        <v>7927</v>
      </c>
      <c r="K17" s="48">
        <v>7868</v>
      </c>
      <c r="L17" s="48">
        <v>7722</v>
      </c>
    </row>
    <row r="18" spans="2:12">
      <c r="I18" s="47" t="s">
        <v>204</v>
      </c>
      <c r="J18" s="48">
        <v>34708</v>
      </c>
      <c r="K18" s="48">
        <v>35208</v>
      </c>
      <c r="L18" s="48">
        <v>35512</v>
      </c>
    </row>
    <row r="19" spans="2:12">
      <c r="I19" s="47" t="s">
        <v>205</v>
      </c>
      <c r="J19" s="48">
        <v>42716</v>
      </c>
      <c r="K19" s="48">
        <v>43236</v>
      </c>
      <c r="L19" s="48">
        <v>44016</v>
      </c>
    </row>
    <row r="20" spans="2:12">
      <c r="I20" s="47" t="s">
        <v>206</v>
      </c>
      <c r="J20" s="48">
        <v>148957</v>
      </c>
      <c r="K20" s="48">
        <v>153694</v>
      </c>
      <c r="L20" s="48">
        <v>159855</v>
      </c>
    </row>
    <row r="21" spans="2:12">
      <c r="I21" s="47" t="s">
        <v>207</v>
      </c>
      <c r="J21" s="48">
        <v>12914</v>
      </c>
      <c r="K21" s="48">
        <v>12975</v>
      </c>
      <c r="L21" s="48">
        <v>12980</v>
      </c>
    </row>
    <row r="22" spans="2:12">
      <c r="I22" s="47" t="s">
        <v>208</v>
      </c>
      <c r="J22" s="48">
        <v>20710</v>
      </c>
      <c r="K22" s="48">
        <v>20769</v>
      </c>
      <c r="L22" s="48">
        <v>20726</v>
      </c>
    </row>
    <row r="23" spans="2:12">
      <c r="I23" s="47" t="s">
        <v>209</v>
      </c>
      <c r="J23" s="48">
        <v>17812</v>
      </c>
      <c r="K23" s="48">
        <v>17850</v>
      </c>
      <c r="L23" s="48">
        <v>17866</v>
      </c>
    </row>
  </sheetData>
  <mergeCells count="5">
    <mergeCell ref="B4:L4"/>
    <mergeCell ref="B5:L5"/>
    <mergeCell ref="B6:H6"/>
    <mergeCell ref="B11:H11"/>
    <mergeCell ref="N2:O2"/>
  </mergeCells>
  <hyperlinks>
    <hyperlink ref="N2:O2" location="Front!C1" display="Front!C1" xr:uid="{43AC92C7-2FD5-4A3B-84FC-58BE559FDEC2}"/>
  </hyperlinks>
  <pageMargins left="0.70866141732283472" right="0.70866141732283472" top="0.74803149606299213" bottom="0.74803149606299213" header="0.31496062992125984" footer="0.31496062992125984"/>
  <pageSetup paperSize="9" scale="9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949A3-0979-4847-BBE3-4E0795815E28}">
  <sheetPr>
    <pageSetUpPr fitToPage="1"/>
  </sheetPr>
  <dimension ref="B1:O40"/>
  <sheetViews>
    <sheetView workbookViewId="0">
      <selection activeCell="C1" sqref="C1:O1"/>
    </sheetView>
  </sheetViews>
  <sheetFormatPr defaultRowHeight="14.25"/>
  <cols>
    <col min="1" max="1" width="4.3984375" style="17" customWidth="1"/>
    <col min="2" max="2" width="10.53125" style="17" customWidth="1"/>
    <col min="3" max="16384" width="9.06640625" style="17"/>
  </cols>
  <sheetData>
    <row r="1" spans="2:15" ht="18">
      <c r="B1" s="113" t="s">
        <v>231</v>
      </c>
      <c r="C1" s="114"/>
      <c r="D1" s="114"/>
      <c r="E1" s="114"/>
      <c r="F1" s="114"/>
      <c r="G1" s="114"/>
      <c r="H1" s="115"/>
      <c r="I1" s="114"/>
      <c r="J1" s="114"/>
      <c r="K1" s="114"/>
      <c r="L1" s="114"/>
      <c r="M1" s="114"/>
      <c r="N1" s="114"/>
      <c r="O1" s="114"/>
    </row>
    <row r="2" spans="2:15" ht="18">
      <c r="N2" s="175" t="s">
        <v>578</v>
      </c>
      <c r="O2" s="175"/>
    </row>
    <row r="3" spans="2:15" ht="30" customHeight="1">
      <c r="B3" s="177" t="s">
        <v>226</v>
      </c>
      <c r="C3" s="177"/>
      <c r="D3" s="177"/>
      <c r="E3" s="177"/>
      <c r="F3" s="177"/>
      <c r="G3" s="177"/>
      <c r="H3" s="177"/>
      <c r="I3" s="177"/>
      <c r="J3" s="177"/>
      <c r="K3" s="177"/>
      <c r="L3" s="177"/>
    </row>
    <row r="4" spans="2:15">
      <c r="B4" s="177" t="s">
        <v>219</v>
      </c>
      <c r="C4" s="177"/>
      <c r="D4" s="177"/>
      <c r="E4" s="177"/>
      <c r="F4" s="177"/>
      <c r="G4" s="177"/>
      <c r="H4" s="177"/>
      <c r="I4" s="177"/>
      <c r="J4" s="177"/>
      <c r="K4" s="177"/>
      <c r="L4" s="177"/>
    </row>
    <row r="5" spans="2:15" ht="14.25" customHeight="1">
      <c r="B5" s="17" t="s">
        <v>228</v>
      </c>
      <c r="C5" s="38"/>
      <c r="D5" s="38"/>
      <c r="E5" s="38"/>
      <c r="F5" s="38"/>
      <c r="G5" s="38"/>
      <c r="H5" s="38"/>
      <c r="I5" s="38"/>
      <c r="J5" s="38"/>
      <c r="K5" s="38"/>
      <c r="L5" s="38"/>
      <c r="M5" s="38"/>
    </row>
    <row r="6" spans="2:15" ht="14.25" customHeight="1">
      <c r="C6" s="38"/>
      <c r="D6" s="38"/>
      <c r="E6" s="38"/>
      <c r="F6" s="38"/>
      <c r="G6" s="38"/>
      <c r="H6" s="38"/>
      <c r="I6" s="38"/>
      <c r="J6" s="38"/>
      <c r="K6" s="38"/>
      <c r="L6" s="38"/>
      <c r="M6" s="38"/>
    </row>
    <row r="7" spans="2:15" ht="14.25" customHeight="1">
      <c r="B7" s="17" t="s">
        <v>220</v>
      </c>
      <c r="C7" s="23" t="s">
        <v>221</v>
      </c>
      <c r="D7" s="38"/>
      <c r="E7" s="38"/>
      <c r="F7" s="38"/>
      <c r="H7" s="188" t="s">
        <v>222</v>
      </c>
      <c r="I7" s="188"/>
      <c r="J7" s="188"/>
      <c r="K7" s="38"/>
      <c r="L7" s="38"/>
      <c r="M7" s="38"/>
    </row>
    <row r="8" spans="2:15" ht="14.25" customHeight="1">
      <c r="C8" s="23" t="s">
        <v>223</v>
      </c>
      <c r="D8" s="38"/>
      <c r="E8" s="38"/>
      <c r="F8" s="38"/>
      <c r="H8" s="23" t="s">
        <v>224</v>
      </c>
      <c r="I8" s="38"/>
      <c r="J8" s="38"/>
      <c r="K8" s="38"/>
      <c r="L8" s="38"/>
      <c r="M8" s="38"/>
    </row>
    <row r="9" spans="2:15" ht="14.25" customHeight="1">
      <c r="C9" s="23" t="s">
        <v>225</v>
      </c>
      <c r="D9" s="38"/>
      <c r="E9" s="38"/>
      <c r="F9" s="38"/>
      <c r="G9" s="38"/>
      <c r="H9" s="188" t="s">
        <v>227</v>
      </c>
      <c r="I9" s="188"/>
      <c r="J9" s="188"/>
    </row>
    <row r="10" spans="2:15" ht="14.25" customHeight="1">
      <c r="C10" s="38"/>
      <c r="D10" s="38"/>
      <c r="E10" s="38"/>
      <c r="F10" s="38"/>
      <c r="G10" s="38"/>
      <c r="H10" s="38"/>
      <c r="I10" s="38"/>
      <c r="J10" s="38"/>
    </row>
    <row r="11" spans="2:15">
      <c r="E11" s="52" t="s">
        <v>127</v>
      </c>
    </row>
    <row r="12" spans="2:15">
      <c r="B12" s="51" t="s">
        <v>229</v>
      </c>
      <c r="E12" s="51">
        <f>MATCH("Baw Baw", G12:G23)</f>
        <v>5</v>
      </c>
      <c r="G12" s="53" t="s">
        <v>193</v>
      </c>
      <c r="H12" s="54">
        <v>5</v>
      </c>
    </row>
    <row r="13" spans="2:15">
      <c r="G13" s="53" t="s">
        <v>194</v>
      </c>
      <c r="H13" s="54">
        <v>6</v>
      </c>
    </row>
    <row r="14" spans="2:15">
      <c r="B14" s="51" t="s">
        <v>230</v>
      </c>
      <c r="E14" s="17">
        <f>MATCH(9,H12:H23)</f>
        <v>11</v>
      </c>
      <c r="G14" s="53" t="s">
        <v>195</v>
      </c>
      <c r="H14" s="54">
        <v>3</v>
      </c>
    </row>
    <row r="15" spans="2:15">
      <c r="G15" s="53" t="s">
        <v>196</v>
      </c>
      <c r="H15" s="54">
        <v>2</v>
      </c>
    </row>
    <row r="16" spans="2:15">
      <c r="G16" s="53" t="s">
        <v>197</v>
      </c>
      <c r="H16" s="54">
        <v>1</v>
      </c>
    </row>
    <row r="17" spans="2:11">
      <c r="G17" s="53" t="s">
        <v>198</v>
      </c>
      <c r="H17" s="54">
        <v>4</v>
      </c>
    </row>
    <row r="18" spans="2:11">
      <c r="G18" s="53" t="s">
        <v>199</v>
      </c>
      <c r="H18" s="54">
        <v>9</v>
      </c>
    </row>
    <row r="19" spans="2:11">
      <c r="G19" s="53" t="s">
        <v>200</v>
      </c>
      <c r="H19" s="54">
        <v>7</v>
      </c>
    </row>
    <row r="20" spans="2:11">
      <c r="G20" s="53" t="s">
        <v>201</v>
      </c>
      <c r="H20" s="54">
        <v>8</v>
      </c>
    </row>
    <row r="21" spans="2:11">
      <c r="G21" s="53" t="s">
        <v>202</v>
      </c>
      <c r="H21" s="54">
        <v>5</v>
      </c>
    </row>
    <row r="22" spans="2:11">
      <c r="G22" s="53" t="s">
        <v>203</v>
      </c>
      <c r="H22" s="54">
        <v>3</v>
      </c>
    </row>
    <row r="23" spans="2:11">
      <c r="G23" s="53" t="s">
        <v>204</v>
      </c>
      <c r="H23" s="54">
        <v>10</v>
      </c>
    </row>
    <row r="26" spans="2:11">
      <c r="B26" s="17" t="s">
        <v>232</v>
      </c>
    </row>
    <row r="27" spans="2:11" ht="60.75" customHeight="1">
      <c r="E27" s="57" t="s">
        <v>233</v>
      </c>
      <c r="F27" s="57" t="s">
        <v>234</v>
      </c>
      <c r="G27" s="57" t="s">
        <v>235</v>
      </c>
    </row>
    <row r="28" spans="2:11" ht="18" customHeight="1">
      <c r="E28" s="57"/>
      <c r="F28" s="57"/>
      <c r="G28" s="189" t="s">
        <v>236</v>
      </c>
      <c r="H28" s="189"/>
      <c r="I28" s="189"/>
      <c r="J28" s="189"/>
      <c r="K28" s="189"/>
    </row>
    <row r="29" spans="2:11">
      <c r="B29" s="55">
        <v>1</v>
      </c>
      <c r="C29" s="56" t="s">
        <v>193</v>
      </c>
      <c r="D29" s="54">
        <v>5</v>
      </c>
      <c r="E29" s="1">
        <f>D29+0.00001*B29</f>
        <v>5.0000099999999996</v>
      </c>
      <c r="F29" s="32">
        <f>RANK(E29,E$29:E$40)</f>
        <v>7</v>
      </c>
      <c r="G29" s="1" t="str">
        <f>VLOOKUP(MATCH(B29,F$29:F$40,0),$B$29:$D$40,2)</f>
        <v xml:space="preserve">Campaspe </v>
      </c>
      <c r="H29" s="1">
        <f>VLOOKUP(MATCH(B29,F$29:F$40,0),$B$29:$D$40,3)</f>
        <v>10</v>
      </c>
    </row>
    <row r="30" spans="2:11">
      <c r="B30" s="55">
        <v>2</v>
      </c>
      <c r="C30" s="56" t="s">
        <v>194</v>
      </c>
      <c r="D30" s="54">
        <v>6</v>
      </c>
      <c r="E30" s="1">
        <f t="shared" ref="E30:E40" si="0">D30+0.00001*B30</f>
        <v>6.0000200000000001</v>
      </c>
      <c r="F30" s="32">
        <f t="shared" ref="F30:F40" si="1">RANK(E30,E$29:E$40)</f>
        <v>5</v>
      </c>
      <c r="G30" s="1" t="str">
        <f t="shared" ref="G30:G40" si="2">VLOOKUP(MATCH(B30,F$29:F$40,0),$B$29:$D$40,2)</f>
        <v xml:space="preserve">Bayside </v>
      </c>
      <c r="H30" s="1">
        <f t="shared" ref="H30:H40" si="3">VLOOKUP(MATCH(B30,F$29:F$40,0),$B$29:$D$40,3)</f>
        <v>9</v>
      </c>
    </row>
    <row r="31" spans="2:11">
      <c r="B31" s="55">
        <v>3</v>
      </c>
      <c r="C31" s="56" t="s">
        <v>195</v>
      </c>
      <c r="D31" s="54">
        <v>3</v>
      </c>
      <c r="E31" s="1">
        <f t="shared" si="0"/>
        <v>3.0000300000000002</v>
      </c>
      <c r="F31" s="32">
        <f t="shared" si="1"/>
        <v>10</v>
      </c>
      <c r="G31" s="1" t="str">
        <f t="shared" si="2"/>
        <v xml:space="preserve">Boroondara </v>
      </c>
      <c r="H31" s="1">
        <f t="shared" si="3"/>
        <v>8</v>
      </c>
    </row>
    <row r="32" spans="2:11">
      <c r="B32" s="55">
        <v>4</v>
      </c>
      <c r="C32" s="56" t="s">
        <v>196</v>
      </c>
      <c r="D32" s="54">
        <v>2</v>
      </c>
      <c r="E32" s="1">
        <f t="shared" si="0"/>
        <v>2.0000399999999998</v>
      </c>
      <c r="F32" s="32">
        <f t="shared" si="1"/>
        <v>11</v>
      </c>
      <c r="G32" s="1" t="str">
        <f t="shared" si="2"/>
        <v xml:space="preserve">Benalla </v>
      </c>
      <c r="H32" s="1">
        <f t="shared" si="3"/>
        <v>7</v>
      </c>
    </row>
    <row r="33" spans="2:8">
      <c r="B33" s="55">
        <v>5</v>
      </c>
      <c r="C33" s="56" t="s">
        <v>197</v>
      </c>
      <c r="D33" s="54">
        <v>1</v>
      </c>
      <c r="E33" s="1">
        <f t="shared" si="0"/>
        <v>1.0000500000000001</v>
      </c>
      <c r="F33" s="32">
        <f t="shared" si="1"/>
        <v>12</v>
      </c>
      <c r="G33" s="1" t="str">
        <f t="shared" si="2"/>
        <v xml:space="preserve">Ararat </v>
      </c>
      <c r="H33" s="1">
        <f t="shared" si="3"/>
        <v>6</v>
      </c>
    </row>
    <row r="34" spans="2:8">
      <c r="B34" s="55">
        <v>6</v>
      </c>
      <c r="C34" s="56" t="s">
        <v>198</v>
      </c>
      <c r="D34" s="54">
        <v>4</v>
      </c>
      <c r="E34" s="1">
        <f t="shared" si="0"/>
        <v>4.0000600000000004</v>
      </c>
      <c r="F34" s="32">
        <f t="shared" si="1"/>
        <v>8</v>
      </c>
      <c r="G34" s="1" t="str">
        <f t="shared" si="2"/>
        <v xml:space="preserve">Brimbank </v>
      </c>
      <c r="H34" s="1">
        <f t="shared" si="3"/>
        <v>5</v>
      </c>
    </row>
    <row r="35" spans="2:8">
      <c r="B35" s="55">
        <v>7</v>
      </c>
      <c r="C35" s="56" t="s">
        <v>199</v>
      </c>
      <c r="D35" s="54">
        <v>9</v>
      </c>
      <c r="E35" s="1">
        <f t="shared" si="0"/>
        <v>9.0000699999999991</v>
      </c>
      <c r="F35" s="32">
        <f t="shared" si="1"/>
        <v>2</v>
      </c>
      <c r="G35" s="1" t="str">
        <f t="shared" si="2"/>
        <v xml:space="preserve">Alpine </v>
      </c>
      <c r="H35" s="1">
        <f t="shared" si="3"/>
        <v>5</v>
      </c>
    </row>
    <row r="36" spans="2:8">
      <c r="B36" s="55">
        <v>8</v>
      </c>
      <c r="C36" s="56" t="s">
        <v>200</v>
      </c>
      <c r="D36" s="54">
        <v>7</v>
      </c>
      <c r="E36" s="1">
        <f t="shared" si="0"/>
        <v>7.0000799999999996</v>
      </c>
      <c r="F36" s="32">
        <f t="shared" si="1"/>
        <v>4</v>
      </c>
      <c r="G36" s="1" t="str">
        <f t="shared" si="2"/>
        <v xml:space="preserve">Baw Baw </v>
      </c>
      <c r="H36" s="1">
        <f t="shared" si="3"/>
        <v>4</v>
      </c>
    </row>
    <row r="37" spans="2:8">
      <c r="B37" s="55">
        <v>9</v>
      </c>
      <c r="C37" s="56" t="s">
        <v>201</v>
      </c>
      <c r="D37" s="54">
        <v>8</v>
      </c>
      <c r="E37" s="1">
        <f t="shared" si="0"/>
        <v>8.0000900000000001</v>
      </c>
      <c r="F37" s="32">
        <f t="shared" si="1"/>
        <v>3</v>
      </c>
      <c r="G37" s="1" t="str">
        <f t="shared" si="2"/>
        <v xml:space="preserve">Buloke </v>
      </c>
      <c r="H37" s="1">
        <f t="shared" si="3"/>
        <v>3</v>
      </c>
    </row>
    <row r="38" spans="2:8">
      <c r="B38" s="55">
        <v>10</v>
      </c>
      <c r="C38" s="56" t="s">
        <v>202</v>
      </c>
      <c r="D38" s="54">
        <v>5</v>
      </c>
      <c r="E38" s="1">
        <f t="shared" si="0"/>
        <v>5.0000999999999998</v>
      </c>
      <c r="F38" s="32">
        <f t="shared" si="1"/>
        <v>6</v>
      </c>
      <c r="G38" s="1" t="str">
        <f t="shared" si="2"/>
        <v xml:space="preserve">Ballarat </v>
      </c>
      <c r="H38" s="1">
        <f t="shared" si="3"/>
        <v>3</v>
      </c>
    </row>
    <row r="39" spans="2:8">
      <c r="B39" s="55">
        <v>11</v>
      </c>
      <c r="C39" s="56" t="s">
        <v>203</v>
      </c>
      <c r="D39" s="54">
        <v>3</v>
      </c>
      <c r="E39" s="1">
        <f t="shared" si="0"/>
        <v>3.0001099999999998</v>
      </c>
      <c r="F39" s="32">
        <f t="shared" si="1"/>
        <v>9</v>
      </c>
      <c r="G39" s="1" t="str">
        <f t="shared" si="2"/>
        <v xml:space="preserve">Banyule </v>
      </c>
      <c r="H39" s="1">
        <f t="shared" si="3"/>
        <v>2</v>
      </c>
    </row>
    <row r="40" spans="2:8">
      <c r="B40" s="55">
        <v>12</v>
      </c>
      <c r="C40" s="56" t="s">
        <v>204</v>
      </c>
      <c r="D40" s="54">
        <v>10</v>
      </c>
      <c r="E40" s="1">
        <f t="shared" si="0"/>
        <v>10.000120000000001</v>
      </c>
      <c r="F40" s="32">
        <f t="shared" si="1"/>
        <v>1</v>
      </c>
      <c r="G40" s="1" t="str">
        <f t="shared" si="2"/>
        <v xml:space="preserve">Bass Coast </v>
      </c>
      <c r="H40" s="1">
        <f t="shared" si="3"/>
        <v>1</v>
      </c>
    </row>
  </sheetData>
  <mergeCells count="6">
    <mergeCell ref="N2:O2"/>
    <mergeCell ref="H9:J9"/>
    <mergeCell ref="G28:K28"/>
    <mergeCell ref="B3:L3"/>
    <mergeCell ref="B4:L4"/>
    <mergeCell ref="H7:J7"/>
  </mergeCells>
  <hyperlinks>
    <hyperlink ref="N2:O2" location="Front!C1" display="Front!C1" xr:uid="{6D2D35A2-0A4D-4ED1-994E-527D653692CF}"/>
  </hyperlinks>
  <pageMargins left="0.39370078740157483" right="0.39370078740157483" top="0.39370078740157483" bottom="0.39370078740157483" header="0.31496062992125984" footer="0.31496062992125984"/>
  <pageSetup paperSize="9" scale="82" orientation="landscape" r:id="rId1"/>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A8955811</value>
    </field>
    <field name="Objective-Title">
      <value order="0">Excel - some key functions and tips for organising social information</value>
    </field>
    <field name="Objective-Description">
      <value order="0"/>
    </field>
    <field name="Objective-CreationStamp">
      <value order="0">2022-07-22T10:27:02Z</value>
    </field>
    <field name="Objective-IsApproved">
      <value order="0">false</value>
    </field>
    <field name="Objective-IsPublished">
      <value order="0">true</value>
    </field>
    <field name="Objective-DatePublished">
      <value order="0">2022-07-23T10:30:19Z</value>
    </field>
    <field name="Objective-ModificationStamp">
      <value order="0">2023-05-16T00:58:48Z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vA11447408</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29</vt:i4>
      </vt:variant>
    </vt:vector>
  </HeadingPairs>
  <TitlesOfParts>
    <vt:vector size="47" baseType="lpstr">
      <vt:lpstr>Front</vt:lpstr>
      <vt:lpstr>Quick Access Toolbar</vt:lpstr>
      <vt:lpstr>General</vt:lpstr>
      <vt:lpstr>Concatenate</vt:lpstr>
      <vt:lpstr>Time</vt:lpstr>
      <vt:lpstr>Count &amp; Sumif</vt:lpstr>
      <vt:lpstr>Subtotal</vt:lpstr>
      <vt:lpstr>Index</vt:lpstr>
      <vt:lpstr>Match</vt:lpstr>
      <vt:lpstr>Vlookup</vt:lpstr>
      <vt:lpstr>Validation</vt:lpstr>
      <vt:lpstr>Ranges</vt:lpstr>
      <vt:lpstr>Dbase</vt:lpstr>
      <vt:lpstr>Pivot Tables</vt:lpstr>
      <vt:lpstr>Offset</vt:lpstr>
      <vt:lpstr>Chart &amp; selected values</vt:lpstr>
      <vt:lpstr>Sheet1</vt:lpstr>
      <vt:lpstr>Chart &amp; changing values</vt:lpstr>
      <vt:lpstr>Subtotal!_Toc72035606</vt:lpstr>
      <vt:lpstr>General!_Toc72035671</vt:lpstr>
      <vt:lpstr>General!_Toc72035672</vt:lpstr>
      <vt:lpstr>Concatenate!_Toc72035681</vt:lpstr>
      <vt:lpstr>Time!_Toc72035681</vt:lpstr>
      <vt:lpstr>General!_Toc72035690</vt:lpstr>
      <vt:lpstr>General!_Toc72035692</vt:lpstr>
      <vt:lpstr>General!_Toc72035694</vt:lpstr>
      <vt:lpstr>'Chart &amp; selected values'!Letter_Range</vt:lpstr>
      <vt:lpstr>Offset</vt:lpstr>
      <vt:lpstr>'Chart &amp; changing values'!Print_Area</vt:lpstr>
      <vt:lpstr>'Chart &amp; selected values'!Print_Area</vt:lpstr>
      <vt:lpstr>Concatenate!Print_Area</vt:lpstr>
      <vt:lpstr>'Count &amp; Sumif'!Print_Area</vt:lpstr>
      <vt:lpstr>Dbase!Print_Area</vt:lpstr>
      <vt:lpstr>Front!Print_Area</vt:lpstr>
      <vt:lpstr>General!Print_Area</vt:lpstr>
      <vt:lpstr>Index!Print_Area</vt:lpstr>
      <vt:lpstr>Match!Print_Area</vt:lpstr>
      <vt:lpstr>Offset!Print_Area</vt:lpstr>
      <vt:lpstr>'Pivot Tables'!Print_Area</vt:lpstr>
      <vt:lpstr>'Quick Access Toolbar'!Print_Area</vt:lpstr>
      <vt:lpstr>Ranges!Print_Area</vt:lpstr>
      <vt:lpstr>Sheet1!Print_Area</vt:lpstr>
      <vt:lpstr>Subtotal!Print_Area</vt:lpstr>
      <vt:lpstr>Time!Print_Area</vt:lpstr>
      <vt:lpstr>Validation!Print_Area</vt:lpstr>
      <vt:lpstr>Vlookup!Print_Area</vt:lpstr>
      <vt:lpstr>Validation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 Brown</dc:creator>
  <cp:lastModifiedBy>Hayden</cp:lastModifiedBy>
  <cp:lastPrinted>2022-06-06T10:36:10Z</cp:lastPrinted>
  <dcterms:created xsi:type="dcterms:W3CDTF">2022-05-16T00:08:19Z</dcterms:created>
  <dcterms:modified xsi:type="dcterms:W3CDTF">2022-07-22T11:20:52Z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A8955811</vt:lpwstr>
  </property>
  <property fmtid="{D5CDD505-2E9C-101B-9397-08002B2CF9AE}" pid="4" name="Objective-Title">
    <vt:lpwstr>Excel - some key functions and tips for organising social information</vt:lpwstr>
  </property>
  <property fmtid="{D5CDD505-2E9C-101B-9397-08002B2CF9AE}" pid="5" name="Objective-Description">
    <vt:lpwstr/>
  </property>
  <property fmtid="{D5CDD505-2E9C-101B-9397-08002B2CF9AE}" pid="6" name="Objective-CreationStamp">
    <vt:filetime>2022-07-22T10:27:02Z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2022-07-23T10:30:19Z</vt:filetime>
  </property>
  <property fmtid="{D5CDD505-2E9C-101B-9397-08002B2CF9AE}" pid="10" name="Objective-ModificationStamp">
    <vt:filetime>2023-05-16T00:58:48Z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vA11447408</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